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5\03\"/>
    </mc:Choice>
  </mc:AlternateContent>
  <xr:revisionPtr revIDLastSave="0" documentId="13_ncr:1_{7248FBE8-8E0A-4621-8EC9-0FA52C68E316}" xr6:coauthVersionLast="47" xr6:coauthVersionMax="47" xr10:uidLastSave="{00000000-0000-0000-0000-000000000000}"/>
  <bookViews>
    <workbookView xWindow="-120" yWindow="-120" windowWidth="29040" windowHeight="15840" tabRatio="958" xr2:uid="{00000000-000D-0000-FFFF-FFFF00000000}"/>
  </bookViews>
  <sheets>
    <sheet name="0" sheetId="22" r:id="rId1"/>
    <sheet name="سهام" sheetId="2" r:id="rId2"/>
    <sheet name="اوراق مشتقه" sheetId="30" r:id="rId3"/>
    <sheet name="اوراق" sheetId="5" r:id="rId4"/>
    <sheet name="تعدیل قیمت" sheetId="29" r:id="rId5"/>
    <sheet name="سپرده" sheetId="7" r:id="rId6"/>
    <sheet name="درآمد" sheetId="8" r:id="rId7"/>
    <sheet name="درآمد سرمایه گذاری در سهام" sheetId="25" r:id="rId8"/>
    <sheet name="درآمد سرمایه گذاری در اوراق به" sheetId="26" r:id="rId9"/>
    <sheet name="درآمد سپرده بانکی" sheetId="27" r:id="rId10"/>
    <sheet name="سایر درآمدها" sheetId="14" r:id="rId11"/>
    <sheet name="سود ترجیحی" sheetId="23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31" r:id="rId17"/>
  </sheets>
  <externalReferences>
    <externalReference r:id="rId18"/>
  </externalReferences>
  <definedNames>
    <definedName name="_xlnm._FilterDatabase" localSheetId="7" hidden="1">'درآمد سرمایه گذاری در سهام'!$A$8:$U$8</definedName>
    <definedName name="_xlnm.Print_Area" localSheetId="3">اوراق!$A$1:$AI$12</definedName>
    <definedName name="_xlnm.Print_Area" localSheetId="2">'اوراق مشتقه'!$A$1:$AS$13</definedName>
    <definedName name="_xlnm.Print_Area" localSheetId="4">'تعدیل قیمت'!$A$1:$M$10</definedName>
    <definedName name="_xlnm.Print_Area" localSheetId="6">درآمد!$A$1:$K$12</definedName>
    <definedName name="_xlnm.Print_Area" localSheetId="9">'درآمد سپرده بانکی'!$A$1:$J$12</definedName>
    <definedName name="_xlnm.Print_Area" localSheetId="8">'درآمد سرمایه گذاری در اوراق به'!$A$1:$Q$12</definedName>
    <definedName name="_xlnm.Print_Area" localSheetId="7">'درآمد سرمایه گذاری در سهام'!$A$1:$U$47</definedName>
    <definedName name="_xlnm.Print_Area" localSheetId="12">'درآمد سود سهام'!$A$1:$S$10</definedName>
    <definedName name="_xlnm.Print_Area" localSheetId="16">'درآمد ناشی از تغییر قیمت اوراق'!$A$1:$Q$39</definedName>
    <definedName name="_xlnm.Print_Area" localSheetId="15">'درآمد ناشی از فروش'!$A$1:$Q$26</definedName>
    <definedName name="_xlnm.Print_Area" localSheetId="10">'سایر درآمدها'!$A$1:$F$11</definedName>
    <definedName name="_xlnm.Print_Area" localSheetId="5">سپرده!$A$1:$L$13</definedName>
    <definedName name="_xlnm.Print_Area" localSheetId="13">'سود اوراق بهادار'!$A$1:$R$11</definedName>
    <definedName name="_xlnm.Print_Area" localSheetId="11">'سود ترجیحی'!$A$1:$H$17</definedName>
    <definedName name="_xlnm.Print_Area" localSheetId="14">'سود سپرده بانکی'!$A$1:$N$12</definedName>
    <definedName name="_xlnm.Print_Area" localSheetId="1">سهام!$A$1:$Y$47</definedName>
  </definedNames>
  <calcPr calcId="191029"/>
</workbook>
</file>

<file path=xl/calcChain.xml><?xml version="1.0" encoding="utf-8"?>
<calcChain xmlns="http://schemas.openxmlformats.org/spreadsheetml/2006/main">
  <c r="K9" i="17" l="1"/>
  <c r="K10" i="17"/>
  <c r="K8" i="17"/>
  <c r="Q9" i="17"/>
  <c r="Q10" i="17"/>
  <c r="Q8" i="17"/>
  <c r="F11" i="23"/>
  <c r="E9" i="23"/>
  <c r="E11" i="23" s="1"/>
  <c r="E10" i="23"/>
  <c r="I9" i="31" l="1"/>
  <c r="I10" i="31"/>
  <c r="I11" i="3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35" i="31"/>
  <c r="I36" i="31"/>
  <c r="I37" i="31"/>
  <c r="I38" i="31"/>
  <c r="I8" i="31"/>
  <c r="Q9" i="31"/>
  <c r="Q10" i="31"/>
  <c r="Q11" i="31"/>
  <c r="Q12" i="31"/>
  <c r="Q13" i="31"/>
  <c r="Q14" i="31"/>
  <c r="Q15" i="31"/>
  <c r="Q16" i="31"/>
  <c r="Q17" i="31"/>
  <c r="Q18" i="31"/>
  <c r="Q19" i="31"/>
  <c r="Q20" i="31"/>
  <c r="Q21" i="31"/>
  <c r="Q22" i="31"/>
  <c r="Q23" i="31"/>
  <c r="Q24" i="31"/>
  <c r="Q25" i="31"/>
  <c r="Q26" i="31"/>
  <c r="Q27" i="31"/>
  <c r="Q28" i="31"/>
  <c r="Q29" i="31"/>
  <c r="Q30" i="31"/>
  <c r="Q31" i="31"/>
  <c r="Q32" i="31"/>
  <c r="Q33" i="31"/>
  <c r="Q34" i="31"/>
  <c r="Q35" i="31"/>
  <c r="Q36" i="31"/>
  <c r="Q37" i="31"/>
  <c r="Q38" i="31"/>
  <c r="Q8" i="31"/>
  <c r="E39" i="31"/>
  <c r="G39" i="31"/>
  <c r="M39" i="31"/>
  <c r="O39" i="31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8" i="19"/>
  <c r="Q11" i="17"/>
  <c r="G11" i="17"/>
  <c r="I11" i="17"/>
  <c r="K11" i="17"/>
  <c r="M11" i="17"/>
  <c r="O11" i="17"/>
  <c r="S8" i="15"/>
  <c r="S10" i="15" s="1"/>
  <c r="S9" i="15"/>
  <c r="M9" i="15"/>
  <c r="M8" i="15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9" i="2"/>
  <c r="Y47" i="2" s="1"/>
  <c r="AI10" i="5"/>
  <c r="AI11" i="5"/>
  <c r="AI9" i="5"/>
  <c r="AG12" i="5"/>
  <c r="C13" i="7"/>
  <c r="G13" i="7"/>
  <c r="E13" i="7"/>
  <c r="I8" i="7"/>
  <c r="I12" i="7"/>
  <c r="K12" i="7" s="1"/>
  <c r="O12" i="5"/>
  <c r="AE12" i="5"/>
  <c r="Y12" i="5"/>
  <c r="U12" i="5"/>
  <c r="Q12" i="5"/>
  <c r="I39" i="31" l="1"/>
  <c r="Q39" i="31"/>
  <c r="K10" i="29" l="1"/>
  <c r="I9" i="7" l="1"/>
  <c r="I10" i="7"/>
  <c r="I11" i="7"/>
  <c r="K11" i="7" s="1"/>
  <c r="Q26" i="19"/>
  <c r="I26" i="19"/>
  <c r="E26" i="19"/>
  <c r="G26" i="19"/>
  <c r="O10" i="15"/>
  <c r="I10" i="15"/>
  <c r="K10" i="15"/>
  <c r="Q10" i="15"/>
  <c r="K8" i="7"/>
  <c r="AI12" i="5"/>
  <c r="W47" i="2"/>
  <c r="U47" i="2"/>
  <c r="O47" i="2"/>
  <c r="K47" i="2"/>
  <c r="G47" i="2"/>
  <c r="E47" i="2"/>
  <c r="K10" i="7" l="1"/>
  <c r="I13" i="7"/>
  <c r="K9" i="7"/>
  <c r="O26" i="19"/>
  <c r="M26" i="19"/>
  <c r="K13" i="7" l="1"/>
  <c r="A3" i="5"/>
  <c r="A3" i="30"/>
  <c r="A3" i="2"/>
  <c r="A3" i="31" s="1"/>
  <c r="G11" i="18"/>
  <c r="O11" i="25" l="1"/>
  <c r="O23" i="25"/>
  <c r="O35" i="25"/>
  <c r="E22" i="25"/>
  <c r="E34" i="25"/>
  <c r="E46" i="25"/>
  <c r="O13" i="25"/>
  <c r="O37" i="25"/>
  <c r="E24" i="25"/>
  <c r="E39" i="25"/>
  <c r="O12" i="25"/>
  <c r="O24" i="25"/>
  <c r="O36" i="25"/>
  <c r="E11" i="25"/>
  <c r="E23" i="25"/>
  <c r="E35" i="25"/>
  <c r="E9" i="25"/>
  <c r="O25" i="25"/>
  <c r="E12" i="25"/>
  <c r="E36" i="25"/>
  <c r="E27" i="25"/>
  <c r="O10" i="25"/>
  <c r="O14" i="25"/>
  <c r="O26" i="25"/>
  <c r="O38" i="25"/>
  <c r="E13" i="25"/>
  <c r="E25" i="25"/>
  <c r="E37" i="25"/>
  <c r="E10" i="26"/>
  <c r="O28" i="25"/>
  <c r="E9" i="26"/>
  <c r="O15" i="25"/>
  <c r="O27" i="25"/>
  <c r="O39" i="25"/>
  <c r="E14" i="25"/>
  <c r="E26" i="25"/>
  <c r="E38" i="25"/>
  <c r="E11" i="26"/>
  <c r="O16" i="25"/>
  <c r="O40" i="25"/>
  <c r="O17" i="25"/>
  <c r="O29" i="25"/>
  <c r="O43" i="25"/>
  <c r="E16" i="25"/>
  <c r="E28" i="25"/>
  <c r="E40" i="25"/>
  <c r="M10" i="26"/>
  <c r="E15" i="25"/>
  <c r="E10" i="25"/>
  <c r="O18" i="25"/>
  <c r="O30" i="25"/>
  <c r="O44" i="25"/>
  <c r="E17" i="25"/>
  <c r="E29" i="25"/>
  <c r="E41" i="25"/>
  <c r="M11" i="26"/>
  <c r="E33" i="25"/>
  <c r="O19" i="25"/>
  <c r="O31" i="25"/>
  <c r="O45" i="25"/>
  <c r="E18" i="25"/>
  <c r="E30" i="25"/>
  <c r="E42" i="25"/>
  <c r="M9" i="26"/>
  <c r="M12" i="26" s="1"/>
  <c r="E45" i="25"/>
  <c r="O20" i="25"/>
  <c r="O32" i="25"/>
  <c r="O46" i="25"/>
  <c r="E19" i="25"/>
  <c r="E31" i="25"/>
  <c r="E43" i="25"/>
  <c r="O21" i="25"/>
  <c r="O33" i="25"/>
  <c r="O9" i="25"/>
  <c r="E20" i="25"/>
  <c r="E32" i="25"/>
  <c r="E44" i="25"/>
  <c r="O22" i="25"/>
  <c r="O34" i="25"/>
  <c r="E21" i="25"/>
  <c r="O41" i="25"/>
  <c r="O42" i="25"/>
  <c r="E11" i="14"/>
  <c r="F11" i="8" s="1"/>
  <c r="J11" i="8" s="1"/>
  <c r="O47" i="25" l="1"/>
  <c r="E47" i="25"/>
  <c r="M9" i="18"/>
  <c r="M10" i="18"/>
  <c r="M11" i="18"/>
  <c r="M8" i="18"/>
  <c r="G8" i="18"/>
  <c r="G9" i="18"/>
  <c r="G10" i="18"/>
  <c r="M10" i="15"/>
  <c r="G12" i="18" l="1"/>
  <c r="M12" i="18"/>
  <c r="A3" i="29"/>
  <c r="A3" i="23" l="1"/>
  <c r="A3" i="19"/>
  <c r="A3" i="18"/>
  <c r="A3" i="17"/>
  <c r="A3" i="15"/>
  <c r="A3" i="14"/>
  <c r="A3" i="27"/>
  <c r="A3" i="26"/>
  <c r="A3" i="25"/>
  <c r="A3" i="8"/>
  <c r="A3" i="7"/>
  <c r="K12" i="18" l="1"/>
  <c r="I12" i="18"/>
  <c r="E12" i="18"/>
  <c r="C12" i="18"/>
  <c r="A1" i="26"/>
  <c r="A1" i="27"/>
  <c r="A1" i="25"/>
  <c r="A1" i="23" l="1"/>
  <c r="A1" i="19"/>
  <c r="A1" i="18"/>
  <c r="A1" i="17"/>
  <c r="A1" i="15"/>
  <c r="A1" i="14"/>
  <c r="A1" i="8"/>
  <c r="A1" i="7"/>
  <c r="A1" i="5"/>
  <c r="C11" i="14"/>
  <c r="M12" i="25" l="1"/>
  <c r="M24" i="25"/>
  <c r="M36" i="25"/>
  <c r="C21" i="25"/>
  <c r="C33" i="25"/>
  <c r="C45" i="25"/>
  <c r="M26" i="25"/>
  <c r="C9" i="25"/>
  <c r="M13" i="25"/>
  <c r="M25" i="25"/>
  <c r="M37" i="25"/>
  <c r="C22" i="25"/>
  <c r="C34" i="25"/>
  <c r="C46" i="25"/>
  <c r="M14" i="25"/>
  <c r="M38" i="25"/>
  <c r="M15" i="25"/>
  <c r="M27" i="25"/>
  <c r="M39" i="25"/>
  <c r="C12" i="25"/>
  <c r="C24" i="25"/>
  <c r="C36" i="25"/>
  <c r="M17" i="25"/>
  <c r="C14" i="25"/>
  <c r="C26" i="25"/>
  <c r="M10" i="25"/>
  <c r="M16" i="25"/>
  <c r="M28" i="25"/>
  <c r="M40" i="25"/>
  <c r="C13" i="25"/>
  <c r="C25" i="25"/>
  <c r="C37" i="25"/>
  <c r="C38" i="25"/>
  <c r="M18" i="25"/>
  <c r="M30" i="25"/>
  <c r="M42" i="25"/>
  <c r="C15" i="25"/>
  <c r="C27" i="25"/>
  <c r="C39" i="25"/>
  <c r="C20" i="25"/>
  <c r="C44" i="25"/>
  <c r="M19" i="25"/>
  <c r="M31" i="25"/>
  <c r="M43" i="25"/>
  <c r="C16" i="25"/>
  <c r="C28" i="25"/>
  <c r="C40" i="25"/>
  <c r="C10" i="25"/>
  <c r="M20" i="25"/>
  <c r="M32" i="25"/>
  <c r="M44" i="25"/>
  <c r="C17" i="25"/>
  <c r="C29" i="25"/>
  <c r="C41" i="25"/>
  <c r="M11" i="25"/>
  <c r="C23" i="25"/>
  <c r="M29" i="25"/>
  <c r="M21" i="25"/>
  <c r="M33" i="25"/>
  <c r="M45" i="25"/>
  <c r="C18" i="25"/>
  <c r="C30" i="25"/>
  <c r="C42" i="25"/>
  <c r="M23" i="25"/>
  <c r="C32" i="25"/>
  <c r="C11" i="25"/>
  <c r="M41" i="25"/>
  <c r="M22" i="25"/>
  <c r="M34" i="25"/>
  <c r="M46" i="25"/>
  <c r="C19" i="25"/>
  <c r="C31" i="25"/>
  <c r="C43" i="25"/>
  <c r="M35" i="25"/>
  <c r="M9" i="25"/>
  <c r="C35" i="25"/>
  <c r="C10" i="26"/>
  <c r="K9" i="26"/>
  <c r="C11" i="26"/>
  <c r="C9" i="26"/>
  <c r="K10" i="26"/>
  <c r="K11" i="26"/>
  <c r="Q11" i="25"/>
  <c r="Q23" i="25"/>
  <c r="Q12" i="25"/>
  <c r="Q24" i="25"/>
  <c r="Q36" i="25"/>
  <c r="G11" i="25"/>
  <c r="G23" i="25"/>
  <c r="G35" i="25"/>
  <c r="G9" i="25"/>
  <c r="G10" i="26"/>
  <c r="Q14" i="25"/>
  <c r="Q38" i="25"/>
  <c r="G13" i="25"/>
  <c r="G37" i="25"/>
  <c r="Q13" i="25"/>
  <c r="Q25" i="25"/>
  <c r="Q37" i="25"/>
  <c r="G12" i="25"/>
  <c r="G24" i="25"/>
  <c r="G36" i="25"/>
  <c r="G11" i="26"/>
  <c r="Q26" i="25"/>
  <c r="G25" i="25"/>
  <c r="Q10" i="25"/>
  <c r="Q15" i="25"/>
  <c r="Q27" i="25"/>
  <c r="Q39" i="25"/>
  <c r="G14" i="25"/>
  <c r="G26" i="25"/>
  <c r="G38" i="25"/>
  <c r="O10" i="26"/>
  <c r="Q41" i="25"/>
  <c r="G16" i="25"/>
  <c r="Q16" i="25"/>
  <c r="Q28" i="25"/>
  <c r="Q40" i="25"/>
  <c r="G15" i="25"/>
  <c r="G27" i="25"/>
  <c r="G39" i="25"/>
  <c r="O11" i="26"/>
  <c r="Q29" i="25"/>
  <c r="Q17" i="25"/>
  <c r="G10" i="25"/>
  <c r="Q18" i="25"/>
  <c r="Q30" i="25"/>
  <c r="Q42" i="25"/>
  <c r="G17" i="25"/>
  <c r="G29" i="25"/>
  <c r="G41" i="25"/>
  <c r="G22" i="25"/>
  <c r="G9" i="26"/>
  <c r="Q19" i="25"/>
  <c r="Q31" i="25"/>
  <c r="Q43" i="25"/>
  <c r="G18" i="25"/>
  <c r="G30" i="25"/>
  <c r="G42" i="25"/>
  <c r="G40" i="25"/>
  <c r="Q20" i="25"/>
  <c r="Q32" i="25"/>
  <c r="Q44" i="25"/>
  <c r="G19" i="25"/>
  <c r="G31" i="25"/>
  <c r="G43" i="25"/>
  <c r="G46" i="25"/>
  <c r="O9" i="26"/>
  <c r="Q21" i="25"/>
  <c r="Q33" i="25"/>
  <c r="Q45" i="25"/>
  <c r="G20" i="25"/>
  <c r="G32" i="25"/>
  <c r="G44" i="25"/>
  <c r="Q22" i="25"/>
  <c r="Q34" i="25"/>
  <c r="Q46" i="25"/>
  <c r="G21" i="25"/>
  <c r="G33" i="25"/>
  <c r="G45" i="25"/>
  <c r="Q35" i="25"/>
  <c r="Q9" i="25"/>
  <c r="G34" i="25"/>
  <c r="G28" i="25"/>
  <c r="G9" i="27"/>
  <c r="G8" i="27"/>
  <c r="G10" i="27"/>
  <c r="G11" i="27"/>
  <c r="M11" i="8"/>
  <c r="K11" i="8"/>
  <c r="L11" i="8"/>
  <c r="C9" i="27"/>
  <c r="C10" i="27"/>
  <c r="C11" i="27"/>
  <c r="C8" i="27"/>
  <c r="I31" i="25" l="1"/>
  <c r="K31" i="25" s="1"/>
  <c r="S45" i="25"/>
  <c r="I10" i="25"/>
  <c r="K10" i="25" s="1"/>
  <c r="I14" i="25"/>
  <c r="K14" i="25" s="1"/>
  <c r="Q11" i="26"/>
  <c r="S46" i="25"/>
  <c r="S21" i="25"/>
  <c r="S18" i="25"/>
  <c r="I36" i="25"/>
  <c r="K36" i="25" s="1"/>
  <c r="S25" i="25"/>
  <c r="I9" i="26"/>
  <c r="S22" i="25"/>
  <c r="I23" i="25"/>
  <c r="K23" i="25" s="1"/>
  <c r="S43" i="25"/>
  <c r="I12" i="25"/>
  <c r="K12" i="25" s="1"/>
  <c r="S42" i="25"/>
  <c r="I22" i="25"/>
  <c r="K22" i="25" s="1"/>
  <c r="I19" i="25"/>
  <c r="K19" i="25" s="1"/>
  <c r="S33" i="25"/>
  <c r="I40" i="25"/>
  <c r="K40" i="25" s="1"/>
  <c r="S30" i="25"/>
  <c r="S17" i="25"/>
  <c r="S37" i="25"/>
  <c r="I28" i="25"/>
  <c r="K28" i="25" s="1"/>
  <c r="Q10" i="26"/>
  <c r="S34" i="25"/>
  <c r="S29" i="25"/>
  <c r="I16" i="25"/>
  <c r="K16" i="25" s="1"/>
  <c r="I38" i="25"/>
  <c r="K38" i="25" s="1"/>
  <c r="I24" i="25"/>
  <c r="K24" i="25" s="1"/>
  <c r="S13" i="25"/>
  <c r="G47" i="25"/>
  <c r="I11" i="26"/>
  <c r="S41" i="25"/>
  <c r="S11" i="25"/>
  <c r="S31" i="25"/>
  <c r="I25" i="25"/>
  <c r="K25" i="25" s="1"/>
  <c r="S39" i="25"/>
  <c r="S26" i="25"/>
  <c r="Q9" i="26"/>
  <c r="I11" i="25"/>
  <c r="K11" i="25" s="1"/>
  <c r="I41" i="25"/>
  <c r="K41" i="25" s="1"/>
  <c r="S19" i="25"/>
  <c r="I13" i="25"/>
  <c r="K13" i="25" s="1"/>
  <c r="S27" i="25"/>
  <c r="I45" i="25"/>
  <c r="K45" i="25" s="1"/>
  <c r="I10" i="26"/>
  <c r="I32" i="25"/>
  <c r="K32" i="25" s="1"/>
  <c r="I29" i="25"/>
  <c r="K29" i="25" s="1"/>
  <c r="I44" i="25"/>
  <c r="K44" i="25" s="1"/>
  <c r="S40" i="25"/>
  <c r="S15" i="25"/>
  <c r="I33" i="25"/>
  <c r="K33" i="25" s="1"/>
  <c r="I35" i="25"/>
  <c r="K35" i="25" s="1"/>
  <c r="S23" i="25"/>
  <c r="I17" i="25"/>
  <c r="K17" i="25" s="1"/>
  <c r="I20" i="25"/>
  <c r="K20" i="25" s="1"/>
  <c r="S28" i="25"/>
  <c r="S38" i="25"/>
  <c r="I21" i="25"/>
  <c r="K21" i="25" s="1"/>
  <c r="S9" i="25"/>
  <c r="I42" i="25"/>
  <c r="K42" i="25" s="1"/>
  <c r="S44" i="25"/>
  <c r="I39" i="25"/>
  <c r="K39" i="25" s="1"/>
  <c r="S16" i="25"/>
  <c r="S14" i="25"/>
  <c r="S36" i="25"/>
  <c r="I37" i="25"/>
  <c r="K37" i="25" s="1"/>
  <c r="C47" i="25"/>
  <c r="I9" i="25"/>
  <c r="S35" i="25"/>
  <c r="I30" i="25"/>
  <c r="K30" i="25" s="1"/>
  <c r="S32" i="25"/>
  <c r="I27" i="25"/>
  <c r="K27" i="25" s="1"/>
  <c r="S10" i="25"/>
  <c r="I46" i="25"/>
  <c r="K46" i="25" s="1"/>
  <c r="S24" i="25"/>
  <c r="I43" i="25"/>
  <c r="K43" i="25" s="1"/>
  <c r="I18" i="25"/>
  <c r="K18" i="25" s="1"/>
  <c r="S20" i="25"/>
  <c r="I15" i="25"/>
  <c r="K15" i="25" s="1"/>
  <c r="I26" i="25"/>
  <c r="K26" i="25" s="1"/>
  <c r="I34" i="25"/>
  <c r="K34" i="25" s="1"/>
  <c r="S12" i="25"/>
  <c r="Q47" i="25"/>
  <c r="M47" i="25"/>
  <c r="O12" i="26"/>
  <c r="G12" i="26"/>
  <c r="E12" i="26"/>
  <c r="K12" i="26"/>
  <c r="C12" i="26"/>
  <c r="C12" i="27"/>
  <c r="G12" i="27"/>
  <c r="I47" i="25" l="1"/>
  <c r="K9" i="25"/>
  <c r="K47" i="25" s="1"/>
  <c r="S47" i="25"/>
  <c r="F10" i="8"/>
  <c r="J10" i="8" s="1"/>
  <c r="M10" i="8"/>
  <c r="I12" i="26"/>
  <c r="Q12" i="26"/>
  <c r="F9" i="8" s="1"/>
  <c r="E9" i="27"/>
  <c r="L10" i="8"/>
  <c r="L8" i="8"/>
  <c r="I10" i="27"/>
  <c r="E10" i="27"/>
  <c r="E11" i="27"/>
  <c r="I9" i="27"/>
  <c r="E8" i="27"/>
  <c r="K10" i="8"/>
  <c r="K8" i="8"/>
  <c r="I8" i="27"/>
  <c r="I11" i="27"/>
  <c r="J9" i="8" l="1"/>
  <c r="M8" i="8"/>
  <c r="M9" i="8"/>
  <c r="F8" i="8"/>
  <c r="K9" i="8"/>
  <c r="K12" i="8" s="1"/>
  <c r="K15" i="8" s="1"/>
  <c r="L9" i="8"/>
  <c r="L12" i="8" s="1"/>
  <c r="E12" i="27"/>
  <c r="I12" i="27"/>
  <c r="J8" i="8" l="1"/>
  <c r="J12" i="8" s="1"/>
  <c r="F12" i="8"/>
  <c r="M12" i="8"/>
  <c r="M15" i="8" s="1"/>
  <c r="U11" i="25" l="1"/>
  <c r="U23" i="25"/>
  <c r="U35" i="25"/>
  <c r="U9" i="25"/>
  <c r="U12" i="25"/>
  <c r="U24" i="25"/>
  <c r="U36" i="25"/>
  <c r="U13" i="25"/>
  <c r="U25" i="25"/>
  <c r="U37" i="25"/>
  <c r="U14" i="25"/>
  <c r="U26" i="25"/>
  <c r="U38" i="25"/>
  <c r="U41" i="25"/>
  <c r="U15" i="25"/>
  <c r="U27" i="25"/>
  <c r="U39" i="25"/>
  <c r="U29" i="25"/>
  <c r="U16" i="25"/>
  <c r="U28" i="25"/>
  <c r="U40" i="25"/>
  <c r="U17" i="25"/>
  <c r="U18" i="25"/>
  <c r="U30" i="25"/>
  <c r="U42" i="25"/>
  <c r="U32" i="25"/>
  <c r="U19" i="25"/>
  <c r="U31" i="25"/>
  <c r="U43" i="25"/>
  <c r="U20" i="25"/>
  <c r="U44" i="25"/>
  <c r="U21" i="25"/>
  <c r="U33" i="25"/>
  <c r="U45" i="25"/>
  <c r="U10" i="25"/>
  <c r="U22" i="25"/>
  <c r="U34" i="25"/>
  <c r="U46" i="25"/>
  <c r="H10" i="8"/>
  <c r="H11" i="8"/>
  <c r="H9" i="8"/>
  <c r="H8" i="8"/>
  <c r="U47" i="25" l="1"/>
  <c r="H12" i="8"/>
</calcChain>
</file>

<file path=xl/sharedStrings.xml><?xml version="1.0" encoding="utf-8"?>
<sst xmlns="http://schemas.openxmlformats.org/spreadsheetml/2006/main" count="411" uniqueCount="174">
  <si>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</si>
  <si>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</si>
  <si>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</si>
  <si>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</si>
  <si>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</si>
  <si>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</si>
  <si>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</si>
  <si>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</si>
  <si>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</si>
  <si>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</si>
  <si>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</si>
  <si>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</si>
  <si>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تجارت</t>
  </si>
  <si>
    <t>بانک صادرات ایران</t>
  </si>
  <si>
    <t>بانک ملت</t>
  </si>
  <si>
    <t>پالایش نفت اصفهان</t>
  </si>
  <si>
    <t>پویا زرکان آق دره</t>
  </si>
  <si>
    <t>تامین سرمایه دماوند</t>
  </si>
  <si>
    <t>ذوب آهن اصفهان</t>
  </si>
  <si>
    <t>سایپا</t>
  </si>
  <si>
    <t>سرمایه گذاری پایا تدبیرپارسا</t>
  </si>
  <si>
    <t>سرمایه گذاری تامین اجتماعی</t>
  </si>
  <si>
    <t>شمش طلا GoldBar</t>
  </si>
  <si>
    <t>مخابرات ایران</t>
  </si>
  <si>
    <t>ملی‌ صنایع‌ مس‌ ایران‌</t>
  </si>
  <si>
    <t>س. و توسعه صنایع لاستیک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</si>
  <si>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</si>
  <si>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</si>
  <si>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</si>
  <si>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</si>
  <si>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</si>
  <si>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</si>
  <si>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</si>
  <si>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</si>
  <si>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</si>
  <si>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خودرو-535-05/08/09</t>
  </si>
  <si>
    <t>1405/08/09</t>
  </si>
  <si>
    <t>اختیارف ت خساپا-542-05/08/16</t>
  </si>
  <si>
    <t>1405/08/16</t>
  </si>
  <si>
    <t>تعداد اوراق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</si>
  <si>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</si>
  <si>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</si>
  <si>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</si>
  <si>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</si>
  <si>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</si>
  <si>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</si>
  <si>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بله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</si>
  <si>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</si>
  <si>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</si>
  <si>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</si>
  <si>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</si>
  <si>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</si>
  <si>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</si>
  <si>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</si>
  <si>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</si>
  <si>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</si>
  <si>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</si>
  <si>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</si>
  <si>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</si>
  <si>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</si>
  <si>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</si>
  <si>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</si>
  <si>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</si>
  <si>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</si>
  <si>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</si>
  <si>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</si>
  <si>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</si>
  <si>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</si>
  <si>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</si>
  <si>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</si>
  <si>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</si>
  <si>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</si>
  <si>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</si>
  <si>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</si>
  <si>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مرابحه سمگا-دماوند060907</t>
  </si>
  <si>
    <t>صکوک مرابحه اندیمشک07-6ماهه23%</t>
  </si>
  <si>
    <t>صکوک اجاره اخابر61-3ماهه23%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</si>
  <si>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</si>
  <si>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</si>
  <si>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</si>
  <si>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</si>
  <si>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بهای تمام شده اوراق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</si>
  <si>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</si>
  <si>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</si>
  <si>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</si>
  <si>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</si>
  <si>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</si>
  <si>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</si>
  <si>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</si>
  <si>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</si>
  <si>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</si>
  <si>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</si>
  <si>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</si>
  <si>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</si>
  <si>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</si>
  <si>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</si>
  <si>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</si>
  <si>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</si>
  <si>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1406/11/14</t>
  </si>
  <si>
    <t>1407/10/06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</si>
  <si>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</si>
  <si>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</si>
  <si>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</si>
  <si>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</si>
  <si>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</si>
  <si>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</si>
  <si>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</si>
  <si>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</si>
  <si>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</si>
  <si>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</si>
  <si>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سپرده کوتاه مدت بانک پاسارگاد</t>
  </si>
  <si>
    <t>سپرده کوتاه مدت بانک سینا</t>
  </si>
  <si>
    <t>سپرده کوتاه مدت بانک سامان</t>
  </si>
  <si>
    <t>سپرده بلند مدت بانک پاسارگاد</t>
  </si>
  <si>
    <t>3-1-سرمایه‌گذاری در  سپرده‌ بانکی</t>
  </si>
  <si>
    <t>1-2-درآمد حاصل از سرمایه­گذاری در سهام و حق تقدم سهام</t>
  </si>
  <si>
    <t>.</t>
  </si>
  <si>
    <t>2-2-درآمد حاصل از سرمایه­گذاری در اوراق بهادار با درآمد ثابت:</t>
  </si>
  <si>
    <t>4-2-سایر درآمدها</t>
  </si>
  <si>
    <t>3-2-درآمد حاصل از سرمایه­گذاری در سپرده بانکی و گواهی سپرده</t>
  </si>
  <si>
    <t>صندوق حفظ ارزش دماوند</t>
  </si>
  <si>
    <t>در اجرای ابلاغیه شماره 12020093 مورخ 1396/09/05 سازمان بورس و اوراق بهادار</t>
  </si>
  <si>
    <t>‫صورت وضعیت پورتفوی</t>
  </si>
  <si>
    <t>‫صندوق حفظ ارزش دماوند</t>
  </si>
  <si>
    <t>میانگین نرخ بازده تا سررسید قراردادهای منعقده(درصد)</t>
  </si>
  <si>
    <t>نرخ اسمی(درصد)</t>
  </si>
  <si>
    <t>جزئیات قراردادهای خرید و نگهداری اوراق بهادار با درآمد ثابت</t>
  </si>
  <si>
    <t>2-1-سرمایه‌گذاری در اوراق بهادار با درآمد ثابت یا علی‌الحساب</t>
  </si>
  <si>
    <t>فولاد مبارکه اصفهان</t>
  </si>
  <si>
    <t>معدنی‌وصنعتی‌چادرملو</t>
  </si>
  <si>
    <t>تولیدی چدن سازان</t>
  </si>
  <si>
    <t>بورس کالای ایران</t>
  </si>
  <si>
    <t>گروه مالی نماد غدیر(سهامی عام)</t>
  </si>
  <si>
    <t>صندوق سهامی حفظ ارزش دماوند</t>
  </si>
  <si>
    <t>1402/09/07</t>
  </si>
  <si>
    <t>دلیل تعدیل</t>
  </si>
  <si>
    <t>خالص ارزش فروش تعدیل شده</t>
  </si>
  <si>
    <t>درصد تعدیل</t>
  </si>
  <si>
    <t>قیمت تعدیل شده</t>
  </si>
  <si>
    <t>قیمت پایانی</t>
  </si>
  <si>
    <t>نام اوراق بهادار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</si>
  <si>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</si>
  <si>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</si>
  <si>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شیر و گوشت زاگرس شهرکرد</t>
  </si>
  <si>
    <t>کارخانجات تولیدی نیروترانسفو</t>
  </si>
  <si>
    <t>داروسازی‌ فارابی‌</t>
  </si>
  <si>
    <t>توزیع دارو پخش</t>
  </si>
  <si>
    <t>پتروشیمی پردیس</t>
  </si>
  <si>
    <t>1402/11/14</t>
  </si>
  <si>
    <t>پتروشیمی‌شیراز</t>
  </si>
  <si>
    <t>ح . معدنی‌وصنعتی‌چادرملو</t>
  </si>
  <si>
    <t>پتروشیمی شازند</t>
  </si>
  <si>
    <t>1405/02/31</t>
  </si>
  <si>
    <t>تصمیم مدیریت</t>
  </si>
  <si>
    <t>‫برای ماه منتهی به 31 خرداد  ماه 1405</t>
  </si>
  <si>
    <t>توسعه خدمات دریایی وبندری سینا</t>
  </si>
  <si>
    <t>سالمین‌</t>
  </si>
  <si>
    <t>صنعت غذایی کورش</t>
  </si>
  <si>
    <t>کاشی‌ الوند</t>
  </si>
  <si>
    <t>سرمایه‌گذاری‌غدیر(هلدینگ‌</t>
  </si>
  <si>
    <t>پالایش نفت بندرعباس</t>
  </si>
  <si>
    <t>تایدواترخاورمیانه</t>
  </si>
  <si>
    <t>تولیدات پتروشیمی قائد بصیر</t>
  </si>
  <si>
    <t>کولان سل</t>
  </si>
  <si>
    <t>نفت‌ بهران‌</t>
  </si>
  <si>
    <t>1405/03/31</t>
  </si>
  <si>
    <t>1402/10/06</t>
  </si>
  <si>
    <t xml:space="preserve">سپرده کوتاه مدت بانک گردشگری </t>
  </si>
  <si>
    <t>1405/03/27</t>
  </si>
  <si>
    <t>1405/03/12</t>
  </si>
  <si>
    <t>اوراق مشارکت صکوک مرابحه اندیمشک07-6ماهه23%</t>
  </si>
  <si>
    <t>اوراق فرابورسی صکوک اجاره اخابر61-3ماهه23%</t>
  </si>
  <si>
    <t>32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</si>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</sst>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_-;\(#,##0\)"/>
    <numFmt numFmtId="166" formatCode="#,##0.00000_);\(#,##0.00000\)"/>
  </numFmts>
  <fonts count="1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1"/>
      <color theme="1"/>
      <name val="Calibri"/>
      <family val="2"/>
      <scheme val="minor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6" fillId="0" borderId="0"/>
    <xf numFmtId="0" fontId="9" fillId="0" borderId="0"/>
    <xf numFmtId="0" fontId="12" fillId="0" borderId="0"/>
    <xf numFmtId="164" fontId="12" fillId="0" borderId="0" applyFont="0" applyFill="0" applyBorder="0" applyAlignment="0" applyProtection="0"/>
    <xf numFmtId="0" fontId="9" fillId="0" borderId="0"/>
    <xf numFmtId="0" fontId="5" fillId="0" borderId="0"/>
  </cellStyleXfs>
  <cellXfs count="14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" fontId="0" fillId="0" borderId="0" xfId="0" applyNumberFormat="1" applyAlignment="1">
      <alignment horizontal="left"/>
    </xf>
    <xf numFmtId="37" fontId="0" fillId="0" borderId="0" xfId="0" applyNumberFormat="1" applyAlignment="1">
      <alignment horizontal="left"/>
    </xf>
    <xf numFmtId="0" fontId="7" fillId="0" borderId="0" xfId="1" applyFont="1"/>
    <xf numFmtId="0" fontId="8" fillId="0" borderId="0" xfId="1" applyFont="1"/>
    <xf numFmtId="0" fontId="10" fillId="0" borderId="0" xfId="2" applyFont="1"/>
    <xf numFmtId="0" fontId="12" fillId="0" borderId="0" xfId="3"/>
    <xf numFmtId="0" fontId="12" fillId="0" borderId="0" xfId="3" applyAlignment="1">
      <alignment horizontal="center" vertical="center"/>
    </xf>
    <xf numFmtId="37" fontId="14" fillId="0" borderId="9" xfId="4" applyNumberFormat="1" applyFont="1" applyFill="1" applyBorder="1" applyAlignment="1">
      <alignment horizontal="center" vertical="center" shrinkToFit="1"/>
    </xf>
    <xf numFmtId="0" fontId="9" fillId="0" borderId="0" xfId="5"/>
    <xf numFmtId="49" fontId="13" fillId="0" borderId="10" xfId="5" applyNumberFormat="1" applyFont="1" applyBorder="1" applyAlignment="1">
      <alignment horizontal="center" vertical="center" wrapText="1"/>
    </xf>
    <xf numFmtId="37" fontId="13" fillId="0" borderId="10" xfId="5" applyNumberFormat="1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/>
    </xf>
    <xf numFmtId="0" fontId="15" fillId="2" borderId="12" xfId="5" applyFont="1" applyFill="1" applyBorder="1" applyAlignment="1">
      <alignment horizontal="center" vertical="center"/>
    </xf>
    <xf numFmtId="0" fontId="1" fillId="0" borderId="0" xfId="6" applyFont="1" applyAlignment="1">
      <alignment vertical="center"/>
    </xf>
    <xf numFmtId="0" fontId="5" fillId="0" borderId="0" xfId="6" applyAlignment="1">
      <alignment horizontal="left"/>
    </xf>
    <xf numFmtId="0" fontId="5" fillId="0" borderId="2" xfId="6" applyBorder="1" applyAlignment="1">
      <alignment horizontal="left"/>
    </xf>
    <xf numFmtId="0" fontId="3" fillId="0" borderId="6" xfId="6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4" fillId="0" borderId="0" xfId="6" applyFont="1" applyAlignment="1">
      <alignment horizontal="right" vertical="top"/>
    </xf>
    <xf numFmtId="0" fontId="5" fillId="0" borderId="0" xfId="6" applyAlignment="1">
      <alignment horizontal="center" vertical="center"/>
    </xf>
    <xf numFmtId="0" fontId="4" fillId="0" borderId="0" xfId="6" applyFont="1" applyAlignment="1">
      <alignment horizontal="center" vertical="center"/>
    </xf>
    <xf numFmtId="3" fontId="4" fillId="0" borderId="0" xfId="6" applyNumberFormat="1" applyFont="1" applyAlignment="1">
      <alignment horizontal="center" vertical="center"/>
    </xf>
    <xf numFmtId="4" fontId="4" fillId="0" borderId="2" xfId="6" applyNumberFormat="1" applyFont="1" applyBorder="1" applyAlignment="1">
      <alignment horizontal="center" vertical="center"/>
    </xf>
    <xf numFmtId="4" fontId="4" fillId="0" borderId="0" xfId="6" applyNumberFormat="1" applyFont="1" applyAlignment="1">
      <alignment horizontal="center" vertical="center"/>
    </xf>
    <xf numFmtId="37" fontId="5" fillId="0" borderId="0" xfId="6" applyNumberFormat="1" applyAlignment="1">
      <alignment horizontal="center" vertical="center"/>
    </xf>
    <xf numFmtId="39" fontId="4" fillId="0" borderId="7" xfId="6" applyNumberFormat="1" applyFont="1" applyBorder="1" applyAlignment="1">
      <alignment horizontal="center" vertical="center"/>
    </xf>
    <xf numFmtId="37" fontId="4" fillId="0" borderId="0" xfId="6" applyNumberFormat="1" applyFont="1" applyAlignment="1">
      <alignment horizontal="center" vertical="center"/>
    </xf>
    <xf numFmtId="39" fontId="4" fillId="0" borderId="0" xfId="6" applyNumberFormat="1" applyFont="1" applyAlignment="1">
      <alignment horizontal="center" vertical="center"/>
    </xf>
    <xf numFmtId="0" fontId="5" fillId="0" borderId="0" xfId="6"/>
    <xf numFmtId="0" fontId="5" fillId="0" borderId="2" xfId="6" applyBorder="1" applyAlignment="1">
      <alignment horizontal="center" vertical="center"/>
    </xf>
    <xf numFmtId="0" fontId="3" fillId="0" borderId="4" xfId="6" applyFont="1" applyBorder="1" applyAlignment="1">
      <alignment vertical="center"/>
    </xf>
    <xf numFmtId="3" fontId="5" fillId="0" borderId="0" xfId="6" applyNumberFormat="1" applyAlignment="1">
      <alignment horizontal="left"/>
    </xf>
    <xf numFmtId="37" fontId="5" fillId="0" borderId="0" xfId="6" applyNumberFormat="1" applyAlignment="1">
      <alignment horizontal="left"/>
    </xf>
    <xf numFmtId="0" fontId="3" fillId="0" borderId="0" xfId="6" applyFont="1" applyAlignment="1">
      <alignment horizontal="center" vertical="center"/>
    </xf>
    <xf numFmtId="0" fontId="4" fillId="0" borderId="0" xfId="6" applyFont="1" applyAlignment="1">
      <alignment vertical="top"/>
    </xf>
    <xf numFmtId="0" fontId="4" fillId="0" borderId="2" xfId="6" applyFont="1" applyBorder="1" applyAlignment="1">
      <alignment vertical="top"/>
    </xf>
    <xf numFmtId="3" fontId="4" fillId="0" borderId="5" xfId="6" applyNumberFormat="1" applyFont="1" applyBorder="1" applyAlignment="1">
      <alignment horizontal="center" vertical="center"/>
    </xf>
    <xf numFmtId="0" fontId="3" fillId="0" borderId="6" xfId="6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3" fontId="12" fillId="0" borderId="0" xfId="3" applyNumberFormat="1"/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/>
    </xf>
    <xf numFmtId="3" fontId="5" fillId="0" borderId="0" xfId="0" applyNumberFormat="1" applyFont="1" applyAlignment="1">
      <alignment horizontal="left"/>
    </xf>
    <xf numFmtId="3" fontId="5" fillId="0" borderId="0" xfId="6" applyNumberFormat="1" applyAlignment="1">
      <alignment horizontal="center" vertical="center"/>
    </xf>
    <xf numFmtId="37" fontId="0" fillId="0" borderId="0" xfId="0" applyNumberFormat="1" applyAlignment="1">
      <alignment horizontal="right" vertical="center"/>
    </xf>
    <xf numFmtId="39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4" fontId="4" fillId="0" borderId="7" xfId="0" applyNumberFormat="1" applyFont="1" applyBorder="1" applyAlignment="1">
      <alignment horizontal="right" vertical="top"/>
    </xf>
    <xf numFmtId="38" fontId="4" fillId="0" borderId="0" xfId="0" applyNumberFormat="1" applyFont="1" applyAlignment="1">
      <alignment horizontal="right" vertical="center"/>
    </xf>
    <xf numFmtId="38" fontId="0" fillId="0" borderId="0" xfId="0" applyNumberFormat="1" applyAlignment="1">
      <alignment horizontal="right" vertical="center"/>
    </xf>
    <xf numFmtId="38" fontId="0" fillId="0" borderId="0" xfId="0" applyNumberFormat="1" applyAlignment="1">
      <alignment horizontal="right"/>
    </xf>
    <xf numFmtId="38" fontId="4" fillId="0" borderId="5" xfId="0" applyNumberFormat="1" applyFont="1" applyBorder="1" applyAlignment="1">
      <alignment horizontal="right" vertical="top"/>
    </xf>
    <xf numFmtId="38" fontId="4" fillId="0" borderId="7" xfId="0" applyNumberFormat="1" applyFont="1" applyBorder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center"/>
    </xf>
    <xf numFmtId="39" fontId="4" fillId="0" borderId="5" xfId="0" applyNumberFormat="1" applyFont="1" applyBorder="1" applyAlignment="1">
      <alignment horizontal="right" vertical="center"/>
    </xf>
    <xf numFmtId="38" fontId="4" fillId="0" borderId="2" xfId="0" applyNumberFormat="1" applyFont="1" applyBorder="1" applyAlignment="1">
      <alignment horizontal="right" vertical="center"/>
    </xf>
    <xf numFmtId="38" fontId="4" fillId="0" borderId="5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3" fontId="4" fillId="0" borderId="7" xfId="0" applyNumberFormat="1" applyFont="1" applyBorder="1" applyAlignment="1">
      <alignment horizontal="right" vertical="top"/>
    </xf>
    <xf numFmtId="38" fontId="4" fillId="0" borderId="7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39" fontId="0" fillId="0" borderId="0" xfId="0" applyNumberFormat="1" applyAlignment="1">
      <alignment horizontal="right" vertical="center"/>
    </xf>
    <xf numFmtId="38" fontId="4" fillId="0" borderId="2" xfId="6" applyNumberFormat="1" applyFont="1" applyBorder="1" applyAlignment="1">
      <alignment horizontal="right" vertical="center"/>
    </xf>
    <xf numFmtId="38" fontId="5" fillId="0" borderId="0" xfId="6" applyNumberFormat="1" applyAlignment="1">
      <alignment horizontal="right" vertical="center"/>
    </xf>
    <xf numFmtId="38" fontId="4" fillId="0" borderId="0" xfId="6" applyNumberFormat="1" applyFont="1" applyAlignment="1">
      <alignment horizontal="right" vertical="center"/>
    </xf>
    <xf numFmtId="38" fontId="4" fillId="0" borderId="5" xfId="6" applyNumberFormat="1" applyFont="1" applyBorder="1" applyAlignment="1">
      <alignment horizontal="right" vertical="center"/>
    </xf>
    <xf numFmtId="37" fontId="14" fillId="0" borderId="0" xfId="4" applyNumberFormat="1" applyFont="1" applyFill="1" applyBorder="1" applyAlignment="1">
      <alignment horizontal="center" vertical="center" shrinkToFit="1"/>
    </xf>
    <xf numFmtId="38" fontId="0" fillId="0" borderId="0" xfId="0" applyNumberFormat="1" applyAlignment="1">
      <alignment horizontal="left"/>
    </xf>
    <xf numFmtId="166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right" vertical="top"/>
    </xf>
    <xf numFmtId="38" fontId="4" fillId="0" borderId="0" xfId="6" applyNumberFormat="1" applyFont="1" applyAlignment="1">
      <alignment horizontal="center" vertical="center"/>
    </xf>
    <xf numFmtId="38" fontId="5" fillId="0" borderId="0" xfId="6" applyNumberFormat="1" applyAlignment="1">
      <alignment horizontal="center" vertical="center"/>
    </xf>
    <xf numFmtId="38" fontId="4" fillId="0" borderId="7" xfId="6" applyNumberFormat="1" applyFont="1" applyBorder="1" applyAlignment="1">
      <alignment horizontal="center" vertical="center"/>
    </xf>
    <xf numFmtId="38" fontId="5" fillId="0" borderId="0" xfId="6" applyNumberFormat="1" applyAlignment="1">
      <alignment horizontal="left"/>
    </xf>
    <xf numFmtId="38" fontId="4" fillId="0" borderId="5" xfId="6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7" fontId="11" fillId="0" borderId="0" xfId="2" applyNumberFormat="1" applyFont="1" applyAlignment="1">
      <alignment horizontal="center" vertical="center"/>
    </xf>
    <xf numFmtId="37" fontId="11" fillId="0" borderId="0" xfId="2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6" applyFont="1" applyBorder="1" applyAlignment="1">
      <alignment horizontal="right" vertical="top"/>
    </xf>
    <xf numFmtId="3" fontId="4" fillId="0" borderId="2" xfId="6" applyNumberFormat="1" applyFont="1" applyBorder="1" applyAlignment="1">
      <alignment horizontal="right" vertical="top"/>
    </xf>
    <xf numFmtId="4" fontId="4" fillId="0" borderId="2" xfId="6" applyNumberFormat="1" applyFont="1" applyBorder="1" applyAlignment="1">
      <alignment horizontal="right" vertical="top"/>
    </xf>
    <xf numFmtId="0" fontId="4" fillId="0" borderId="0" xfId="6" applyFont="1" applyAlignment="1">
      <alignment horizontal="right" vertical="top"/>
    </xf>
    <xf numFmtId="3" fontId="4" fillId="0" borderId="0" xfId="6" applyNumberFormat="1" applyFont="1" applyAlignment="1">
      <alignment horizontal="right" vertical="top"/>
    </xf>
    <xf numFmtId="4" fontId="4" fillId="0" borderId="0" xfId="6" applyNumberFormat="1" applyFont="1" applyAlignment="1">
      <alignment horizontal="right" vertical="top"/>
    </xf>
    <xf numFmtId="0" fontId="1" fillId="0" borderId="0" xfId="6" applyFont="1" applyAlignment="1">
      <alignment horizontal="center" vertical="center"/>
    </xf>
    <xf numFmtId="37" fontId="1" fillId="0" borderId="0" xfId="6" applyNumberFormat="1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0" fontId="3" fillId="0" borderId="4" xfId="6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6" applyFont="1" applyBorder="1" applyAlignment="1">
      <alignment horizontal="center" vertical="center"/>
    </xf>
    <xf numFmtId="0" fontId="2" fillId="0" borderId="0" xfId="6" applyFont="1" applyAlignment="1">
      <alignment horizontal="right" vertical="center" readingOrder="2"/>
    </xf>
    <xf numFmtId="165" fontId="16" fillId="0" borderId="0" xfId="5" applyNumberFormat="1" applyFont="1" applyAlignment="1">
      <alignment horizontal="right" vertical="center"/>
    </xf>
    <xf numFmtId="165" fontId="9" fillId="0" borderId="0" xfId="5" applyNumberFormat="1"/>
    <xf numFmtId="0" fontId="13" fillId="0" borderId="10" xfId="5" applyFont="1" applyBorder="1" applyAlignment="1">
      <alignment horizontal="center" vertical="center" wrapText="1"/>
    </xf>
  </cellXfs>
  <cellStyles count="7">
    <cellStyle name="Comma 2 2 2" xfId="4" xr:uid="{C0E07E28-BAF9-4738-863C-B2DD54C5CAE7}"/>
    <cellStyle name="Normal" xfId="0" builtinId="0"/>
    <cellStyle name="Normal 2" xfId="6" xr:uid="{EA4EB5DA-2FB0-4004-BBA1-033A36D35DE7}"/>
    <cellStyle name="Normal 2 2" xfId="5" xr:uid="{E7361AA4-401A-41D0-8CEE-B5FF9929AEC0}"/>
    <cellStyle name="Normal 2 3" xfId="1" xr:uid="{FFFEF5F7-E21C-4B1A-9378-8B0BA4F6C96B}"/>
    <cellStyle name="Normal 2 4" xfId="3" xr:uid="{4BB15788-FE29-40FC-877A-F86FB5DC0845}"/>
    <cellStyle name="Normal 4" xfId="2" xr:uid="{2BE8D241-F6C0-4C17-BACD-8B5A1B33D62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586809</xdr:colOff>
      <xdr:row>1</xdr:row>
      <xdr:rowOff>51026</xdr:rowOff>
    </xdr:from>
    <xdr:ext cx="3185091" cy="2718751"/>
    <xdr:pic>
      <xdr:nvPicPr>
        <xdr:cNvPr id="2" name="Picture 1">
          <a:extLst>
            <a:ext uri="{FF2B5EF4-FFF2-40B4-BE49-F238E27FC236}">
              <a16:creationId xmlns:a16="http://schemas.microsoft.com/office/drawing/2014/main" id="{A8D3AA09-D673-4F3F-AC2F-A5F75EC8F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304900" y="289151"/>
          <a:ext cx="3185091" cy="271875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F/&#1581;&#1587;&#1575;&#1576;&#1583;&#1575;&#1585;&#1740;%20&#1589;&#1606;&#1583;&#1608;&#1602;/10-&#1581;&#1601;&#1592;%20&#1575;&#1585;&#1586;&#1588;%20&#1583;&#1605;&#1575;&#1608;&#1606;&#1583;/&#1593;&#1605;&#1604;&#1740;&#1575;&#1578;%20&#1581;&#1587;&#1575;&#1576;&#1583;&#1575;&#1585;&#1740;/&#1662;&#1585;&#1578;&#1601;&#1608;&#1740;%20&#1605;&#1575;&#1607;&#1575;&#1606;&#1607;/1404/14040531/140405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"/>
      <sheetName val="سهام"/>
      <sheetName val="اوراق مشتقه"/>
      <sheetName val="اوراق"/>
      <sheetName val="تعدیل قیمت"/>
      <sheetName val="سپرده"/>
      <sheetName val="درآمد"/>
      <sheetName val="1-2"/>
      <sheetName val="2-2"/>
      <sheetName val="3-2"/>
      <sheetName val="4-2"/>
      <sheetName val="درآمد سود سهام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  <sheetName val="سود ترجیح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صندوق حفظ ارزش دماوند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749B-F53B-4D53-8565-2073CFDF345C}">
  <sheetPr>
    <tabColor rgb="FF92D050"/>
  </sheetPr>
  <dimension ref="A15:I27"/>
  <sheetViews>
    <sheetView rightToLeft="1" tabSelected="1" view="pageBreakPreview" zoomScaleNormal="100" zoomScaleSheetLayoutView="100" workbookViewId="0">
      <selection activeCell="Q13" sqref="Q13"/>
    </sheetView>
  </sheetViews>
  <sheetFormatPr defaultRowHeight="18.75"/>
  <cols>
    <col min="1" max="16384" width="9.140625" style="35"/>
  </cols>
  <sheetData>
    <row r="15" spans="1:9" ht="33.75" customHeight="1">
      <c r="A15" s="116" t="s">
        <v>123</v>
      </c>
      <c r="B15" s="116"/>
      <c r="C15" s="116"/>
      <c r="D15" s="116"/>
      <c r="E15" s="116"/>
      <c r="F15" s="116"/>
      <c r="G15" s="116"/>
      <c r="H15" s="116"/>
      <c r="I15" s="116"/>
    </row>
    <row r="16" spans="1:9" ht="33.75" customHeight="1">
      <c r="A16" s="116" t="s">
        <v>122</v>
      </c>
      <c r="B16" s="116"/>
      <c r="C16" s="116"/>
      <c r="D16" s="116"/>
      <c r="E16" s="116"/>
      <c r="F16" s="116"/>
      <c r="G16" s="116"/>
      <c r="H16" s="116"/>
      <c r="I16" s="116"/>
    </row>
    <row r="17" spans="1:9" ht="33.75" customHeight="1">
      <c r="A17" s="117" t="s">
        <v>121</v>
      </c>
      <c r="B17" s="117"/>
      <c r="C17" s="117"/>
      <c r="D17" s="117"/>
      <c r="E17" s="117"/>
      <c r="F17" s="117"/>
      <c r="G17" s="117"/>
      <c r="H17" s="117"/>
      <c r="I17" s="117"/>
    </row>
    <row r="18" spans="1:9" ht="33.75" customHeight="1">
      <c r="A18" s="116" t="s">
        <v>154</v>
      </c>
      <c r="B18" s="116"/>
      <c r="C18" s="116"/>
      <c r="D18" s="116"/>
      <c r="E18" s="116"/>
      <c r="F18" s="116"/>
      <c r="G18" s="116"/>
      <c r="H18" s="116"/>
      <c r="I18" s="116"/>
    </row>
    <row r="19" spans="1:9">
      <c r="A19" s="37"/>
      <c r="B19" s="37"/>
      <c r="C19" s="37"/>
      <c r="D19" s="37"/>
      <c r="E19" s="37"/>
      <c r="F19" s="37"/>
      <c r="G19" s="37"/>
      <c r="H19" s="37"/>
      <c r="I19" s="37"/>
    </row>
    <row r="20" spans="1:9">
      <c r="A20" s="37"/>
      <c r="B20" s="37"/>
      <c r="C20" s="37"/>
      <c r="D20" s="37"/>
      <c r="E20" s="37"/>
      <c r="F20" s="37"/>
      <c r="G20" s="37"/>
      <c r="H20" s="37"/>
      <c r="I20" s="37"/>
    </row>
    <row r="21" spans="1:9">
      <c r="A21" s="37"/>
      <c r="B21" s="37"/>
      <c r="C21" s="37"/>
      <c r="D21" s="37"/>
      <c r="E21" s="37"/>
      <c r="F21" s="37"/>
      <c r="G21" s="37"/>
      <c r="H21" s="37"/>
      <c r="I21" s="37"/>
    </row>
    <row r="22" spans="1:9">
      <c r="A22" s="37"/>
      <c r="B22" s="37"/>
      <c r="C22" s="37"/>
      <c r="D22" s="37"/>
      <c r="E22" s="37"/>
      <c r="F22" s="37"/>
      <c r="G22" s="37"/>
      <c r="H22" s="37"/>
      <c r="I22" s="37"/>
    </row>
    <row r="23" spans="1:9">
      <c r="A23" s="37"/>
      <c r="B23" s="37"/>
      <c r="C23" s="37"/>
      <c r="D23" s="37"/>
      <c r="E23" s="37"/>
      <c r="F23" s="37"/>
      <c r="G23" s="37"/>
      <c r="H23" s="37"/>
      <c r="I23" s="37"/>
    </row>
    <row r="24" spans="1:9" ht="34.5" customHeight="1">
      <c r="A24" s="37"/>
      <c r="B24" s="37"/>
      <c r="C24" s="37"/>
      <c r="D24" s="37"/>
      <c r="E24" s="37"/>
      <c r="F24" s="37"/>
      <c r="G24" s="37"/>
      <c r="H24" s="37"/>
      <c r="I24" s="37"/>
    </row>
    <row r="27" spans="1:9">
      <c r="C27" s="36" t="s">
        <v>116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FE2B-111C-4619-BCC7-96440E29D07F}">
  <sheetPr>
    <tabColor rgb="FF92D050"/>
    <pageSetUpPr fitToPage="1"/>
  </sheetPr>
  <dimension ref="A1:I14"/>
  <sheetViews>
    <sheetView rightToLeft="1" view="pageBreakPreview" zoomScale="150" zoomScaleNormal="100" zoomScaleSheetLayoutView="150" workbookViewId="0">
      <selection activeCell="G17" sqref="G17"/>
    </sheetView>
  </sheetViews>
  <sheetFormatPr defaultRowHeight="12.75"/>
  <cols>
    <col min="1" max="1" width="40.28515625" style="49" customWidth="1"/>
    <col min="2" max="2" width="1.28515625" style="49" customWidth="1"/>
    <col min="3" max="3" width="19.42578125" style="49" customWidth="1"/>
    <col min="4" max="4" width="1.28515625" style="49" customWidth="1"/>
    <col min="5" max="5" width="20.7109375" style="49" customWidth="1"/>
    <col min="6" max="6" width="1.28515625" style="49" customWidth="1"/>
    <col min="7" max="7" width="19.42578125" style="49" customWidth="1"/>
    <col min="8" max="8" width="1.28515625" style="49" customWidth="1"/>
    <col min="9" max="9" width="19.42578125" style="49" customWidth="1"/>
    <col min="10" max="10" width="0.28515625" style="49" customWidth="1"/>
    <col min="11" max="16384" width="9.140625" style="49"/>
  </cols>
  <sheetData>
    <row r="1" spans="1:9" ht="29.1" customHeight="1">
      <c r="A1" s="129" t="str">
        <f>سهام!A1</f>
        <v>صندوق حفظ ارزش دماوند</v>
      </c>
      <c r="B1" s="129"/>
      <c r="C1" s="129"/>
      <c r="D1" s="129"/>
      <c r="E1" s="129"/>
      <c r="F1" s="129"/>
      <c r="G1" s="129"/>
      <c r="H1" s="129"/>
      <c r="I1" s="129"/>
    </row>
    <row r="2" spans="1:9" ht="21.75" customHeight="1">
      <c r="A2" s="129" t="s">
        <v>51</v>
      </c>
      <c r="B2" s="129"/>
      <c r="C2" s="129"/>
      <c r="D2" s="129"/>
      <c r="E2" s="129"/>
      <c r="F2" s="129"/>
      <c r="G2" s="129"/>
      <c r="H2" s="129"/>
      <c r="I2" s="129"/>
    </row>
    <row r="3" spans="1:9" ht="21.75" customHeight="1">
      <c r="A3" s="129" t="str">
        <f>سهام!A3</f>
        <v>‫برای ماه منتهی به 31 خرداد  ماه 1405</v>
      </c>
      <c r="B3" s="129"/>
      <c r="C3" s="129"/>
      <c r="D3" s="129"/>
      <c r="E3" s="129"/>
      <c r="F3" s="129"/>
      <c r="G3" s="129"/>
      <c r="H3" s="129"/>
      <c r="I3" s="129"/>
    </row>
    <row r="4" spans="1:9" ht="14.45" customHeight="1"/>
    <row r="5" spans="1:9" ht="14.45" customHeight="1">
      <c r="A5" s="138" t="s">
        <v>119</v>
      </c>
      <c r="B5" s="138"/>
      <c r="C5" s="138"/>
      <c r="D5" s="138"/>
      <c r="E5" s="138"/>
      <c r="F5" s="138"/>
      <c r="G5" s="138"/>
      <c r="H5" s="138"/>
      <c r="I5" s="138"/>
    </row>
    <row r="6" spans="1:9" ht="14.45" customHeight="1">
      <c r="C6" s="132" t="s">
        <v>66</v>
      </c>
      <c r="D6" s="132"/>
      <c r="E6" s="132"/>
      <c r="G6" s="132" t="s">
        <v>67</v>
      </c>
      <c r="H6" s="132"/>
      <c r="I6" s="132"/>
    </row>
    <row r="7" spans="1:9" ht="36.4" customHeight="1">
      <c r="A7" s="65" t="s">
        <v>82</v>
      </c>
      <c r="C7" s="72" t="s">
        <v>83</v>
      </c>
      <c r="D7" s="50"/>
      <c r="E7" s="72" t="s">
        <v>84</v>
      </c>
      <c r="G7" s="72" t="s">
        <v>83</v>
      </c>
      <c r="H7" s="50"/>
      <c r="I7" s="72" t="s">
        <v>84</v>
      </c>
    </row>
    <row r="8" spans="1:9" ht="21.75" customHeight="1">
      <c r="A8" s="70" t="s">
        <v>110</v>
      </c>
      <c r="C8" s="56">
        <f>VLOOKUP(A8,'سود سپرده بانکی'!A:M,3,0)</f>
        <v>22203542</v>
      </c>
      <c r="D8" s="54"/>
      <c r="E8" s="57">
        <f>C8/$C$12*100</f>
        <v>5.426033168609524</v>
      </c>
      <c r="F8" s="54"/>
      <c r="G8" s="56">
        <f>IFERROR(VLOOKUP(A8,'سود سپرده بانکی'!A:M,9,0),0)</f>
        <v>22203542</v>
      </c>
      <c r="H8" s="54"/>
      <c r="I8" s="57">
        <f>G8/$G$12*100</f>
        <v>5.426033168609524</v>
      </c>
    </row>
    <row r="9" spans="1:9" ht="21.75" customHeight="1">
      <c r="A9" s="53" t="s">
        <v>111</v>
      </c>
      <c r="C9" s="56">
        <f>VLOOKUP(A9,'سود سپرده بانکی'!A:M,3,0)</f>
        <v>401760</v>
      </c>
      <c r="D9" s="54"/>
      <c r="E9" s="58">
        <f>C9/$C$12*100</f>
        <v>9.8180870683630669E-2</v>
      </c>
      <c r="F9" s="54"/>
      <c r="G9" s="56">
        <f>IFERROR(VLOOKUP(A9,'سود سپرده بانکی'!A:M,9,0),0)</f>
        <v>401760</v>
      </c>
      <c r="H9" s="54"/>
      <c r="I9" s="58">
        <f>G9/$G$12*100</f>
        <v>9.8180870683630669E-2</v>
      </c>
    </row>
    <row r="10" spans="1:9" ht="21.75" customHeight="1">
      <c r="A10" s="53" t="s">
        <v>112</v>
      </c>
      <c r="C10" s="56">
        <f>VLOOKUP(A10,'سود سپرده بانکی'!A:M,3,0)</f>
        <v>160292</v>
      </c>
      <c r="D10" s="54"/>
      <c r="E10" s="58">
        <f>C10/$C$12*100</f>
        <v>3.9171664983125569E-2</v>
      </c>
      <c r="F10" s="54"/>
      <c r="G10" s="56">
        <f>IFERROR(VLOOKUP(A10,'سود سپرده بانکی'!A:M,9,0),0)</f>
        <v>160292</v>
      </c>
      <c r="H10" s="54"/>
      <c r="I10" s="58">
        <f>G10/$G$12*100</f>
        <v>3.9171664983125569E-2</v>
      </c>
    </row>
    <row r="11" spans="1:9" ht="21.75" customHeight="1">
      <c r="A11" s="53" t="s">
        <v>113</v>
      </c>
      <c r="C11" s="56">
        <f>VLOOKUP(A11,'سود سپرده بانکی'!A:M,3,0)</f>
        <v>386438355</v>
      </c>
      <c r="D11" s="54"/>
      <c r="E11" s="58">
        <f>C11/$C$12*100</f>
        <v>94.436614295723714</v>
      </c>
      <c r="F11" s="54"/>
      <c r="G11" s="56">
        <f>IFERROR(VLOOKUP(A11,'سود سپرده بانکی'!A:M,9,0),0)</f>
        <v>386438355</v>
      </c>
      <c r="H11" s="54"/>
      <c r="I11" s="58">
        <f>G11/$G$12*100</f>
        <v>94.436614295723714</v>
      </c>
    </row>
    <row r="12" spans="1:9" ht="21.75" customHeight="1" thickBot="1">
      <c r="A12" s="68"/>
      <c r="C12" s="71">
        <f>SUM(C8:C11)</f>
        <v>409203949</v>
      </c>
      <c r="D12" s="54"/>
      <c r="E12" s="71">
        <f>SUM(E8:E11)</f>
        <v>100</v>
      </c>
      <c r="F12" s="54"/>
      <c r="G12" s="71">
        <f>SUM(G8:G11)</f>
        <v>409203949</v>
      </c>
      <c r="H12" s="54"/>
      <c r="I12" s="71">
        <f>SUM(I8:I11)</f>
        <v>100</v>
      </c>
    </row>
    <row r="13" spans="1:9" ht="13.5" thickTop="1">
      <c r="C13" s="66"/>
      <c r="G13" s="66"/>
    </row>
    <row r="14" spans="1:9">
      <c r="C14" s="66"/>
      <c r="G14" s="66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E13"/>
  <sheetViews>
    <sheetView rightToLeft="1" view="pageBreakPreview" zoomScale="154" zoomScaleNormal="100" zoomScaleSheetLayoutView="154" workbookViewId="0">
      <selection activeCell="H16" sqref="H16"/>
    </sheetView>
  </sheetViews>
  <sheetFormatPr defaultRowHeight="12.75"/>
  <cols>
    <col min="1" max="1" width="41.5703125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0.28515625" customWidth="1"/>
  </cols>
  <sheetData>
    <row r="1" spans="1:5" ht="29.1" customHeight="1">
      <c r="A1" s="119" t="str">
        <f>سهام!A1</f>
        <v>صندوق حفظ ارزش دماوند</v>
      </c>
      <c r="B1" s="119"/>
      <c r="C1" s="119"/>
      <c r="D1" s="119"/>
      <c r="E1" s="119"/>
    </row>
    <row r="2" spans="1:5" ht="21.75" customHeight="1">
      <c r="A2" s="119" t="s">
        <v>51</v>
      </c>
      <c r="B2" s="119"/>
      <c r="C2" s="119"/>
      <c r="D2" s="119"/>
      <c r="E2" s="119"/>
    </row>
    <row r="3" spans="1:5" ht="21.75" customHeight="1">
      <c r="A3" s="119" t="str">
        <f>سهام!A3</f>
        <v>‫برای ماه منتهی به 31 خرداد  ماه 1405</v>
      </c>
      <c r="B3" s="119"/>
      <c r="C3" s="119"/>
      <c r="D3" s="119"/>
      <c r="E3" s="119"/>
    </row>
    <row r="4" spans="1:5" ht="14.45" customHeight="1"/>
    <row r="5" spans="1:5" ht="29.1" customHeight="1">
      <c r="A5" s="118" t="s">
        <v>118</v>
      </c>
      <c r="B5" s="118"/>
      <c r="C5" s="118"/>
      <c r="D5" s="118"/>
      <c r="E5" s="118"/>
    </row>
    <row r="6" spans="1:5" ht="14.45" customHeight="1">
      <c r="C6" s="2" t="s">
        <v>66</v>
      </c>
      <c r="E6" s="2" t="s">
        <v>165</v>
      </c>
    </row>
    <row r="7" spans="1:5" ht="14.45" customHeight="1">
      <c r="A7" s="14" t="s">
        <v>65</v>
      </c>
      <c r="C7" s="4" t="s">
        <v>48</v>
      </c>
      <c r="E7" s="4" t="s">
        <v>48</v>
      </c>
    </row>
    <row r="8" spans="1:5" ht="21.75" customHeight="1">
      <c r="A8" s="15" t="s">
        <v>65</v>
      </c>
      <c r="C8" s="18">
        <v>261122320</v>
      </c>
      <c r="D8" s="25"/>
      <c r="E8" s="18">
        <v>261122320</v>
      </c>
    </row>
    <row r="9" spans="1:5" ht="21.75" customHeight="1">
      <c r="A9" s="13" t="s">
        <v>85</v>
      </c>
      <c r="C9" s="19">
        <v>2327515</v>
      </c>
      <c r="D9" s="25"/>
      <c r="E9" s="19">
        <v>2327515</v>
      </c>
    </row>
    <row r="10" spans="1:5" ht="21.75" customHeight="1">
      <c r="A10" s="13" t="s">
        <v>86</v>
      </c>
      <c r="C10" s="31">
        <v>811206617</v>
      </c>
      <c r="D10" s="25"/>
      <c r="E10" s="31">
        <v>811206617</v>
      </c>
    </row>
    <row r="11" spans="1:5" ht="21.75" customHeight="1" thickBot="1">
      <c r="A11" s="29"/>
      <c r="C11" s="20">
        <f>SUM(C8:C10)</f>
        <v>1074656452</v>
      </c>
      <c r="D11" s="25"/>
      <c r="E11" s="20">
        <f>SUM(E8:E10)</f>
        <v>1074656452</v>
      </c>
    </row>
    <row r="12" spans="1:5" ht="13.5" thickTop="1">
      <c r="C12" s="33"/>
    </row>
    <row r="13" spans="1:5">
      <c r="C13" s="33"/>
      <c r="E13" s="33"/>
    </row>
  </sheetData>
  <mergeCells count="4">
    <mergeCell ref="A1:E1"/>
    <mergeCell ref="A2:E2"/>
    <mergeCell ref="A3:E3"/>
    <mergeCell ref="A5:E5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AA3F-9074-4809-8DA6-59583AE37752}">
  <sheetPr>
    <tabColor rgb="FF92D050"/>
  </sheetPr>
  <dimension ref="A1:Q20"/>
  <sheetViews>
    <sheetView rightToLeft="1" view="pageBreakPreview" zoomScaleNormal="100" zoomScaleSheetLayoutView="100" workbookViewId="0">
      <selection activeCell="K24" sqref="K24"/>
    </sheetView>
  </sheetViews>
  <sheetFormatPr defaultRowHeight="15"/>
  <cols>
    <col min="1" max="1" width="17.42578125" style="38" customWidth="1"/>
    <col min="2" max="2" width="9.28515625" style="38" bestFit="1" customWidth="1"/>
    <col min="3" max="3" width="39.28515625" style="38" bestFit="1" customWidth="1"/>
    <col min="4" max="4" width="12.42578125" style="38" bestFit="1" customWidth="1"/>
    <col min="5" max="5" width="17.42578125" style="38" bestFit="1" customWidth="1"/>
    <col min="6" max="6" width="16.5703125" style="38" bestFit="1" customWidth="1"/>
    <col min="7" max="7" width="9.42578125" style="38" bestFit="1" customWidth="1"/>
    <col min="8" max="8" width="15" style="38" customWidth="1"/>
    <col min="9" max="11" width="9.140625" style="38"/>
    <col min="12" max="12" width="15.28515625" style="38" bestFit="1" customWidth="1"/>
    <col min="13" max="13" width="9.140625" style="38"/>
    <col min="14" max="14" width="15.28515625" style="38" bestFit="1" customWidth="1"/>
    <col min="15" max="16384" width="9.140625" style="38"/>
  </cols>
  <sheetData>
    <row r="1" spans="1:17" ht="26.25" customHeight="1">
      <c r="A1" s="129" t="str">
        <f>'[1]درآمد ناشی از تغییر قیمت اوراق'!A1:Q1</f>
        <v>صندوق حفظ ارزش دماوند</v>
      </c>
      <c r="B1" s="129"/>
      <c r="C1" s="129"/>
      <c r="D1" s="129"/>
      <c r="E1" s="129"/>
      <c r="F1" s="129"/>
      <c r="G1" s="129"/>
      <c r="H1" s="129"/>
      <c r="I1" s="48"/>
      <c r="J1" s="48"/>
      <c r="K1" s="48"/>
      <c r="L1" s="48"/>
      <c r="M1" s="48"/>
      <c r="N1" s="48"/>
      <c r="O1" s="48"/>
      <c r="P1" s="48"/>
      <c r="Q1" s="48"/>
    </row>
    <row r="2" spans="1:17" ht="26.25" customHeight="1">
      <c r="A2" s="129" t="s">
        <v>51</v>
      </c>
      <c r="B2" s="129"/>
      <c r="C2" s="129"/>
      <c r="D2" s="129"/>
      <c r="E2" s="129"/>
      <c r="F2" s="129"/>
      <c r="G2" s="129"/>
      <c r="H2" s="129"/>
      <c r="I2" s="48"/>
      <c r="J2" s="48"/>
      <c r="K2" s="48"/>
      <c r="L2" s="48"/>
      <c r="M2" s="48"/>
      <c r="N2" s="48"/>
      <c r="O2" s="48"/>
      <c r="P2" s="48"/>
      <c r="Q2" s="48"/>
    </row>
    <row r="3" spans="1:17" ht="25.5">
      <c r="A3" s="129" t="str">
        <f>سهام!A3</f>
        <v>‫برای ماه منتهی به 31 خرداد  ماه 1405</v>
      </c>
      <c r="B3" s="129"/>
      <c r="C3" s="129"/>
      <c r="D3" s="129"/>
      <c r="E3" s="129"/>
      <c r="F3" s="129"/>
      <c r="G3" s="129"/>
      <c r="H3" s="129"/>
      <c r="I3" s="48"/>
      <c r="J3" s="48"/>
      <c r="K3" s="48"/>
      <c r="L3" s="48"/>
      <c r="M3" s="48"/>
      <c r="N3" s="48"/>
      <c r="O3" s="48"/>
      <c r="P3" s="48"/>
      <c r="Q3" s="48"/>
    </row>
    <row r="6" spans="1:17" ht="21">
      <c r="A6" s="139" t="s">
        <v>126</v>
      </c>
      <c r="B6" s="140"/>
      <c r="C6" s="140"/>
      <c r="D6" s="140"/>
      <c r="E6" s="140"/>
      <c r="F6" s="140"/>
      <c r="G6" s="140"/>
      <c r="H6" s="41"/>
    </row>
    <row r="7" spans="1:17" ht="15.75" thickBot="1">
      <c r="A7" s="41"/>
      <c r="B7" s="41"/>
      <c r="C7" s="41"/>
      <c r="D7" s="41"/>
      <c r="E7" s="41"/>
      <c r="F7" s="41"/>
      <c r="G7" s="41"/>
      <c r="H7" s="41"/>
    </row>
    <row r="8" spans="1:17" ht="51.75">
      <c r="A8" s="47" t="s">
        <v>78</v>
      </c>
      <c r="B8" s="46" t="s">
        <v>79</v>
      </c>
      <c r="C8" s="46" t="s">
        <v>80</v>
      </c>
      <c r="D8" s="46" t="s">
        <v>39</v>
      </c>
      <c r="E8" s="46" t="s">
        <v>81</v>
      </c>
      <c r="F8" s="45" t="s">
        <v>77</v>
      </c>
      <c r="G8" s="45" t="s">
        <v>125</v>
      </c>
      <c r="H8" s="45" t="s">
        <v>124</v>
      </c>
    </row>
    <row r="9" spans="1:17" ht="18">
      <c r="A9" s="141"/>
      <c r="B9" s="141"/>
      <c r="C9" s="44" t="s">
        <v>170</v>
      </c>
      <c r="D9" s="43">
        <v>145000</v>
      </c>
      <c r="E9" s="43">
        <f t="shared" ref="E9:E10" si="0">D9*1000000</f>
        <v>145000000000</v>
      </c>
      <c r="F9" s="43">
        <v>24596132</v>
      </c>
      <c r="G9" s="43">
        <v>23</v>
      </c>
      <c r="H9" s="42" t="s">
        <v>173</v>
      </c>
    </row>
    <row r="10" spans="1:17" ht="18">
      <c r="A10" s="141"/>
      <c r="B10" s="141"/>
      <c r="C10" s="44" t="s">
        <v>171</v>
      </c>
      <c r="D10" s="43">
        <v>150600</v>
      </c>
      <c r="E10" s="43">
        <f t="shared" si="0"/>
        <v>150600000000</v>
      </c>
      <c r="F10" s="43">
        <v>458931786</v>
      </c>
      <c r="G10" s="43">
        <v>23</v>
      </c>
      <c r="H10" s="42" t="s">
        <v>172</v>
      </c>
    </row>
    <row r="11" spans="1:17" ht="18.75" thickBot="1">
      <c r="D11" s="105"/>
      <c r="E11" s="40">
        <f>SUM(E9:E10)</f>
        <v>295600000000</v>
      </c>
      <c r="F11" s="40">
        <f>SUM(F9:F10)</f>
        <v>483527918</v>
      </c>
    </row>
    <row r="12" spans="1:17" ht="15.75" thickTop="1"/>
    <row r="13" spans="1:17">
      <c r="G13" s="39"/>
    </row>
    <row r="20" spans="3:3">
      <c r="C20" s="76"/>
    </row>
  </sheetData>
  <mergeCells count="6">
    <mergeCell ref="A1:H1"/>
    <mergeCell ref="A2:H2"/>
    <mergeCell ref="A3:H3"/>
    <mergeCell ref="A6:G6"/>
    <mergeCell ref="A9:A10"/>
    <mergeCell ref="B9:B10"/>
  </mergeCells>
  <pageMargins left="0.7" right="0.7" top="0.75" bottom="0.75" header="0.3" footer="0.3"/>
  <pageSetup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11"/>
  <sheetViews>
    <sheetView rightToLeft="1" view="pageBreakPreview" zoomScale="106" zoomScaleNormal="100" zoomScaleSheetLayoutView="106" workbookViewId="0">
      <selection activeCell="O31" sqref="O31"/>
    </sheetView>
  </sheetViews>
  <sheetFormatPr defaultRowHeight="12.75"/>
  <cols>
    <col min="1" max="1" width="24.7109375" style="9" bestFit="1" customWidth="1"/>
    <col min="2" max="2" width="1.28515625" style="9" customWidth="1"/>
    <col min="3" max="3" width="16.85546875" style="9" customWidth="1"/>
    <col min="4" max="4" width="1.28515625" style="9" customWidth="1"/>
    <col min="5" max="5" width="28.140625" style="9" bestFit="1" customWidth="1"/>
    <col min="6" max="6" width="1.28515625" style="9" customWidth="1"/>
    <col min="7" max="7" width="19" style="25" bestFit="1" customWidth="1"/>
    <col min="8" max="8" width="1.28515625" style="25" customWidth="1"/>
    <col min="9" max="9" width="19.140625" style="25" bestFit="1" customWidth="1"/>
    <col min="10" max="10" width="1.28515625" style="25" customWidth="1"/>
    <col min="11" max="11" width="13.7109375" style="25" bestFit="1" customWidth="1"/>
    <col min="12" max="12" width="1.28515625" style="25" customWidth="1"/>
    <col min="13" max="13" width="20.140625" style="25" bestFit="1" customWidth="1"/>
    <col min="14" max="14" width="1.28515625" style="25" customWidth="1"/>
    <col min="15" max="15" width="19.140625" style="25" bestFit="1" customWidth="1"/>
    <col min="16" max="16" width="1.28515625" style="25" customWidth="1"/>
    <col min="17" max="17" width="13.7109375" style="25" bestFit="1" customWidth="1"/>
    <col min="18" max="18" width="1.28515625" style="25" customWidth="1"/>
    <col min="19" max="19" width="20.140625" style="25" bestFit="1" customWidth="1"/>
    <col min="20" max="20" width="7.7109375" style="9" customWidth="1"/>
    <col min="21" max="16384" width="9.140625" style="9"/>
  </cols>
  <sheetData>
    <row r="1" spans="1:19" ht="29.1" customHeight="1">
      <c r="A1" s="119" t="str">
        <f>سهام!A1</f>
        <v>صندوق حفظ ارزش دماوند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</row>
    <row r="2" spans="1:19" ht="21.75" customHeight="1">
      <c r="A2" s="119" t="s">
        <v>51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21.75" customHeight="1">
      <c r="A3" s="119" t="str">
        <f>سهام!A3</f>
        <v>‫برای ماه منتهی به 31 خرداد  ماه 1405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</row>
    <row r="4" spans="1:19" ht="14.45" customHeight="1"/>
    <row r="5" spans="1:19" ht="14.45" customHeight="1">
      <c r="A5" s="136" t="s">
        <v>69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</row>
    <row r="6" spans="1:19" ht="14.45" customHeight="1">
      <c r="A6" s="121" t="s">
        <v>28</v>
      </c>
      <c r="C6" s="121" t="s">
        <v>87</v>
      </c>
      <c r="D6" s="121"/>
      <c r="E6" s="121"/>
      <c r="F6" s="121"/>
      <c r="G6" s="121"/>
      <c r="I6" s="121" t="s">
        <v>66</v>
      </c>
      <c r="J6" s="121"/>
      <c r="K6" s="121"/>
      <c r="L6" s="121"/>
      <c r="M6" s="121"/>
      <c r="O6" s="121" t="s">
        <v>67</v>
      </c>
      <c r="P6" s="121"/>
      <c r="Q6" s="121"/>
      <c r="R6" s="121"/>
      <c r="S6" s="121"/>
    </row>
    <row r="7" spans="1:19" ht="29.1" customHeight="1">
      <c r="A7" s="121"/>
      <c r="C7" s="8" t="s">
        <v>88</v>
      </c>
      <c r="D7" s="10"/>
      <c r="E7" s="8" t="s">
        <v>89</v>
      </c>
      <c r="F7" s="10"/>
      <c r="G7" s="8" t="s">
        <v>90</v>
      </c>
      <c r="I7" s="8" t="s">
        <v>91</v>
      </c>
      <c r="J7" s="26"/>
      <c r="K7" s="8" t="s">
        <v>92</v>
      </c>
      <c r="L7" s="26"/>
      <c r="M7" s="8" t="s">
        <v>93</v>
      </c>
      <c r="O7" s="8" t="s">
        <v>91</v>
      </c>
      <c r="P7" s="26"/>
      <c r="Q7" s="8" t="s">
        <v>92</v>
      </c>
      <c r="R7" s="26"/>
      <c r="S7" s="8" t="s">
        <v>93</v>
      </c>
    </row>
    <row r="8" spans="1:19" customFormat="1" ht="21.75" customHeight="1">
      <c r="A8" s="6" t="s">
        <v>149</v>
      </c>
      <c r="B8" s="25"/>
      <c r="C8" s="28" t="s">
        <v>168</v>
      </c>
      <c r="D8" s="25"/>
      <c r="E8" s="19">
        <v>500000</v>
      </c>
      <c r="F8" s="19"/>
      <c r="G8" s="114">
        <v>6928</v>
      </c>
      <c r="H8" s="106"/>
      <c r="I8" s="91">
        <v>3464000000</v>
      </c>
      <c r="J8" s="88"/>
      <c r="K8" s="91">
        <v>-232408946</v>
      </c>
      <c r="L8" s="88"/>
      <c r="M8" s="91">
        <f>I8+K8</f>
        <v>3231591054</v>
      </c>
      <c r="N8" s="88"/>
      <c r="O8" s="91">
        <v>3464000000</v>
      </c>
      <c r="P8" s="88"/>
      <c r="Q8" s="91">
        <v>-232408946</v>
      </c>
      <c r="R8" s="88"/>
      <c r="S8" s="91">
        <f>O8+Q8</f>
        <v>3231591054</v>
      </c>
    </row>
    <row r="9" spans="1:19" customFormat="1" ht="21.75" customHeight="1">
      <c r="A9" s="6" t="s">
        <v>131</v>
      </c>
      <c r="B9" s="25"/>
      <c r="C9" s="28" t="s">
        <v>169</v>
      </c>
      <c r="D9" s="25"/>
      <c r="E9" s="19">
        <v>19000000</v>
      </c>
      <c r="F9" s="25"/>
      <c r="G9" s="114">
        <v>530</v>
      </c>
      <c r="H9" s="106"/>
      <c r="I9" s="91">
        <v>10070000000</v>
      </c>
      <c r="J9" s="88"/>
      <c r="K9" s="91">
        <v>0</v>
      </c>
      <c r="L9" s="88"/>
      <c r="M9" s="91">
        <f>I9+K9</f>
        <v>10070000000</v>
      </c>
      <c r="N9" s="88"/>
      <c r="O9" s="91">
        <v>10070000000</v>
      </c>
      <c r="P9" s="88"/>
      <c r="Q9" s="91">
        <v>0</v>
      </c>
      <c r="R9" s="88"/>
      <c r="S9" s="91">
        <f>O9+Q9</f>
        <v>10070000000</v>
      </c>
    </row>
    <row r="10" spans="1:19" ht="21.75" customHeight="1">
      <c r="A10" s="29"/>
      <c r="C10" s="19"/>
      <c r="D10" s="25"/>
      <c r="E10" s="19"/>
      <c r="F10" s="25"/>
      <c r="G10" s="114"/>
      <c r="H10" s="115"/>
      <c r="I10" s="98">
        <f>SUM(I8:I9)</f>
        <v>13534000000</v>
      </c>
      <c r="J10" s="87"/>
      <c r="K10" s="98">
        <f>SUM(K8:K9)</f>
        <v>-232408946</v>
      </c>
      <c r="L10" s="87"/>
      <c r="M10" s="98">
        <f>SUM(M8:M9)</f>
        <v>13301591054</v>
      </c>
      <c r="N10" s="87"/>
      <c r="O10" s="98">
        <f>SUM(O8:O9)</f>
        <v>13534000000</v>
      </c>
      <c r="P10" s="87"/>
      <c r="Q10" s="98">
        <f>SUM(Q8:Q9)</f>
        <v>-232408946</v>
      </c>
      <c r="R10" s="87"/>
      <c r="S10" s="98">
        <f>SUM(S8:S9)</f>
        <v>13301591054</v>
      </c>
    </row>
    <row r="11" spans="1:19">
      <c r="I11" s="30"/>
      <c r="O11" s="3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Q12"/>
  <sheetViews>
    <sheetView rightToLeft="1" view="pageBreakPreview" zoomScaleNormal="100" zoomScaleSheetLayoutView="100" workbookViewId="0">
      <selection activeCell="T30" sqref="T30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5.7109375" bestFit="1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119" t="str">
        <f>سهام!A1</f>
        <v>صندوق حفظ ارزش دماوند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17" ht="21.75" customHeight="1">
      <c r="A2" s="119" t="s">
        <v>51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17" ht="21.75" customHeight="1">
      <c r="A3" s="119" t="str">
        <f>سهام!A3</f>
        <v>‫برای ماه منتهی به 31 خرداد  ماه 1405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</row>
    <row r="4" spans="1:17" ht="14.45" customHeight="1"/>
    <row r="5" spans="1:17" ht="14.45" customHeight="1">
      <c r="A5" s="136" t="s">
        <v>94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</row>
    <row r="6" spans="1:17" ht="14.45" customHeight="1">
      <c r="A6" s="121" t="s">
        <v>54</v>
      </c>
      <c r="G6" s="121" t="s">
        <v>66</v>
      </c>
      <c r="H6" s="121"/>
      <c r="I6" s="121"/>
      <c r="J6" s="121"/>
      <c r="K6" s="121"/>
      <c r="M6" s="121" t="s">
        <v>67</v>
      </c>
      <c r="N6" s="121"/>
      <c r="O6" s="121"/>
      <c r="P6" s="121"/>
      <c r="Q6" s="121"/>
    </row>
    <row r="7" spans="1:17" ht="36.75" customHeight="1">
      <c r="A7" s="121"/>
      <c r="C7" s="7" t="s">
        <v>44</v>
      </c>
      <c r="E7" s="7" t="s">
        <v>95</v>
      </c>
      <c r="G7" s="8" t="s">
        <v>96</v>
      </c>
      <c r="H7" s="3"/>
      <c r="I7" s="8" t="s">
        <v>92</v>
      </c>
      <c r="J7" s="3"/>
      <c r="K7" s="8" t="s">
        <v>97</v>
      </c>
      <c r="M7" s="8" t="s">
        <v>96</v>
      </c>
      <c r="N7" s="3"/>
      <c r="O7" s="8" t="s">
        <v>92</v>
      </c>
      <c r="P7" s="3"/>
      <c r="Q7" s="8" t="s">
        <v>97</v>
      </c>
    </row>
    <row r="8" spans="1:17" ht="21.75" customHeight="1">
      <c r="A8" s="27" t="s">
        <v>76</v>
      </c>
      <c r="B8" s="25"/>
      <c r="C8" s="27" t="s">
        <v>98</v>
      </c>
      <c r="E8" s="18">
        <v>23</v>
      </c>
      <c r="G8" s="94">
        <v>2080197610</v>
      </c>
      <c r="H8" s="87"/>
      <c r="I8" s="94">
        <v>0</v>
      </c>
      <c r="J8" s="87"/>
      <c r="K8" s="86">
        <f>G8+I8</f>
        <v>2080197610</v>
      </c>
      <c r="L8" s="87"/>
      <c r="M8" s="86">
        <v>2080197610</v>
      </c>
      <c r="N8" s="87"/>
      <c r="O8" s="94">
        <v>0</v>
      </c>
      <c r="P8" s="87"/>
      <c r="Q8" s="94">
        <f>M8+O8</f>
        <v>2080197610</v>
      </c>
    </row>
    <row r="9" spans="1:17" ht="21.75" customHeight="1">
      <c r="A9" s="28" t="s">
        <v>75</v>
      </c>
      <c r="B9" s="25"/>
      <c r="C9" s="28" t="s">
        <v>99</v>
      </c>
      <c r="E9" s="19">
        <v>23</v>
      </c>
      <c r="G9" s="86">
        <v>24596132</v>
      </c>
      <c r="H9" s="87"/>
      <c r="I9" s="86">
        <v>0</v>
      </c>
      <c r="J9" s="87"/>
      <c r="K9" s="86">
        <f t="shared" ref="K9:K10" si="0">G9+I9</f>
        <v>24596132</v>
      </c>
      <c r="L9" s="87"/>
      <c r="M9" s="86">
        <v>24596132</v>
      </c>
      <c r="N9" s="87"/>
      <c r="O9" s="86">
        <v>0</v>
      </c>
      <c r="P9" s="87"/>
      <c r="Q9" s="86">
        <f t="shared" ref="Q9:Q10" si="1">M9+O9</f>
        <v>24596132</v>
      </c>
    </row>
    <row r="10" spans="1:17" ht="21.75" customHeight="1">
      <c r="A10" s="28" t="s">
        <v>74</v>
      </c>
      <c r="B10" s="25"/>
      <c r="C10" s="28" t="s">
        <v>100</v>
      </c>
      <c r="E10" s="19">
        <v>23</v>
      </c>
      <c r="G10" s="86">
        <v>1554336893</v>
      </c>
      <c r="H10" s="87"/>
      <c r="I10" s="86">
        <v>0</v>
      </c>
      <c r="J10" s="87"/>
      <c r="K10" s="86">
        <f t="shared" si="0"/>
        <v>1554336893</v>
      </c>
      <c r="L10" s="87"/>
      <c r="M10" s="86">
        <v>1554336893</v>
      </c>
      <c r="N10" s="87"/>
      <c r="O10" s="86">
        <v>0</v>
      </c>
      <c r="P10" s="87"/>
      <c r="Q10" s="86">
        <f t="shared" si="1"/>
        <v>1554336893</v>
      </c>
    </row>
    <row r="11" spans="1:17" ht="21.75" customHeight="1" thickBot="1">
      <c r="A11" s="29"/>
      <c r="C11" s="32"/>
      <c r="E11" s="32"/>
      <c r="G11" s="98">
        <f>SUM(G8:G10)</f>
        <v>3659130635</v>
      </c>
      <c r="H11" s="87"/>
      <c r="I11" s="98">
        <f>SUM(I8:I10)</f>
        <v>0</v>
      </c>
      <c r="J11" s="87"/>
      <c r="K11" s="98">
        <f>SUM(K8:K10)</f>
        <v>3659130635</v>
      </c>
      <c r="L11" s="87"/>
      <c r="M11" s="98">
        <f>SUM(M8:M10)</f>
        <v>3659130635</v>
      </c>
      <c r="N11" s="87"/>
      <c r="O11" s="98">
        <f>SUM(O8:O10)</f>
        <v>0</v>
      </c>
      <c r="P11" s="87"/>
      <c r="Q11" s="98">
        <f>SUM(Q8:Q10)</f>
        <v>3659130635</v>
      </c>
    </row>
    <row r="12" spans="1:17" ht="13.5" thickTop="1">
      <c r="G12" s="33"/>
      <c r="K12" s="33"/>
      <c r="M12" s="33"/>
      <c r="Q12" s="33"/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7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3"/>
  <sheetViews>
    <sheetView rightToLeft="1" view="pageBreakPreview" zoomScale="136" zoomScaleNormal="100" zoomScaleSheetLayoutView="136" workbookViewId="0">
      <selection activeCell="O21" sqref="O21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.28515625" bestFit="1" customWidth="1"/>
    <col min="6" max="6" width="1.28515625" customWidth="1"/>
    <col min="7" max="7" width="15.5703125" customWidth="1"/>
    <col min="8" max="8" width="1.28515625" customWidth="1"/>
    <col min="9" max="9" width="15.5703125" bestFit="1" customWidth="1"/>
    <col min="10" max="10" width="1.28515625" customWidth="1"/>
    <col min="11" max="11" width="11.14062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19" t="str">
        <f>سهام!A1</f>
        <v>صندوق حفظ ارزش دماوند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21.75" customHeight="1">
      <c r="A2" s="119" t="s">
        <v>51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21.75" customHeight="1">
      <c r="A3" s="119" t="str">
        <f>سهام!A3</f>
        <v>‫برای ماه منتهی به 31 خرداد  ماه 1405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1:13" ht="14.45" customHeight="1"/>
    <row r="5" spans="1:13" ht="14.45" customHeight="1">
      <c r="A5" s="136" t="s">
        <v>101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</row>
    <row r="6" spans="1:13" ht="14.45" customHeight="1">
      <c r="A6" s="121" t="s">
        <v>54</v>
      </c>
      <c r="C6" s="121" t="s">
        <v>66</v>
      </c>
      <c r="D6" s="121"/>
      <c r="E6" s="121"/>
      <c r="F6" s="121"/>
      <c r="G6" s="121"/>
      <c r="I6" s="121" t="s">
        <v>67</v>
      </c>
      <c r="J6" s="121"/>
      <c r="K6" s="121"/>
      <c r="L6" s="121"/>
      <c r="M6" s="121"/>
    </row>
    <row r="7" spans="1:13" ht="29.1" customHeight="1">
      <c r="A7" s="121"/>
      <c r="C7" s="8" t="s">
        <v>96</v>
      </c>
      <c r="D7" s="3"/>
      <c r="E7" s="8" t="s">
        <v>92</v>
      </c>
      <c r="F7" s="3"/>
      <c r="G7" s="8" t="s">
        <v>97</v>
      </c>
      <c r="I7" s="8" t="s">
        <v>96</v>
      </c>
      <c r="J7" s="3"/>
      <c r="K7" s="8" t="s">
        <v>92</v>
      </c>
      <c r="L7" s="3"/>
      <c r="M7" s="8" t="s">
        <v>97</v>
      </c>
    </row>
    <row r="8" spans="1:13" ht="21.75" customHeight="1">
      <c r="A8" s="5" t="s">
        <v>110</v>
      </c>
      <c r="C8" s="94">
        <v>22203542</v>
      </c>
      <c r="D8" s="87"/>
      <c r="E8" s="94">
        <v>0</v>
      </c>
      <c r="F8" s="87"/>
      <c r="G8" s="86">
        <f t="shared" ref="G8:G10" si="0">C8+E8</f>
        <v>22203542</v>
      </c>
      <c r="H8" s="87"/>
      <c r="I8" s="94">
        <v>22203542</v>
      </c>
      <c r="J8" s="87"/>
      <c r="K8" s="94">
        <v>0</v>
      </c>
      <c r="L8" s="87"/>
      <c r="M8" s="86">
        <f>I8+K8</f>
        <v>22203542</v>
      </c>
    </row>
    <row r="9" spans="1:13" ht="21.75" customHeight="1">
      <c r="A9" s="6" t="s">
        <v>111</v>
      </c>
      <c r="C9" s="86">
        <v>401760</v>
      </c>
      <c r="D9" s="87"/>
      <c r="E9" s="86">
        <v>0</v>
      </c>
      <c r="F9" s="87"/>
      <c r="G9" s="86">
        <f t="shared" si="0"/>
        <v>401760</v>
      </c>
      <c r="H9" s="87"/>
      <c r="I9" s="86">
        <v>401760</v>
      </c>
      <c r="J9" s="87"/>
      <c r="K9" s="86">
        <v>0</v>
      </c>
      <c r="L9" s="87"/>
      <c r="M9" s="86">
        <f t="shared" ref="M9:M11" si="1">I9+K9</f>
        <v>401760</v>
      </c>
    </row>
    <row r="10" spans="1:13" ht="21.75" customHeight="1">
      <c r="A10" s="6" t="s">
        <v>112</v>
      </c>
      <c r="C10" s="86">
        <v>160292</v>
      </c>
      <c r="D10" s="86"/>
      <c r="E10" s="86">
        <v>0</v>
      </c>
      <c r="F10" s="86"/>
      <c r="G10" s="86">
        <f t="shared" si="0"/>
        <v>160292</v>
      </c>
      <c r="H10" s="86">
        <v>0</v>
      </c>
      <c r="I10" s="86">
        <v>160292</v>
      </c>
      <c r="J10" s="86">
        <v>0</v>
      </c>
      <c r="K10" s="86">
        <v>0</v>
      </c>
      <c r="L10" s="86">
        <v>0</v>
      </c>
      <c r="M10" s="86">
        <f t="shared" si="1"/>
        <v>160292</v>
      </c>
    </row>
    <row r="11" spans="1:13" ht="21.75" customHeight="1">
      <c r="A11" s="6" t="s">
        <v>113</v>
      </c>
      <c r="C11" s="86">
        <v>386438355</v>
      </c>
      <c r="D11" s="86">
        <v>0</v>
      </c>
      <c r="E11" s="86">
        <v>-2327515</v>
      </c>
      <c r="F11" s="86">
        <v>0</v>
      </c>
      <c r="G11" s="86">
        <f>C11+E11</f>
        <v>384110840</v>
      </c>
      <c r="H11" s="86">
        <v>0</v>
      </c>
      <c r="I11" s="86">
        <v>386438355</v>
      </c>
      <c r="J11" s="86">
        <v>0</v>
      </c>
      <c r="K11" s="86">
        <v>-2327515</v>
      </c>
      <c r="L11" s="86">
        <v>0</v>
      </c>
      <c r="M11" s="86">
        <f t="shared" si="1"/>
        <v>384110840</v>
      </c>
    </row>
    <row r="12" spans="1:13" ht="21.75" customHeight="1" thickBot="1">
      <c r="A12" s="29"/>
      <c r="C12" s="95">
        <f>SUM(C8:C11)</f>
        <v>409203949</v>
      </c>
      <c r="D12" s="87"/>
      <c r="E12" s="95">
        <f>SUM(E8:E11)</f>
        <v>-2327515</v>
      </c>
      <c r="F12" s="87"/>
      <c r="G12" s="95">
        <f>SUM(G8:G11)</f>
        <v>406876434</v>
      </c>
      <c r="H12" s="87"/>
      <c r="I12" s="95">
        <f>SUM(I8:I11)</f>
        <v>409203949</v>
      </c>
      <c r="J12" s="87"/>
      <c r="K12" s="95">
        <f>SUM(K8:K11)</f>
        <v>-2327515</v>
      </c>
      <c r="L12" s="87"/>
      <c r="M12" s="95">
        <f>SUM(M8:M11)</f>
        <v>406876434</v>
      </c>
    </row>
    <row r="13" spans="1:13" ht="13.5" thickTop="1">
      <c r="C13" s="34"/>
      <c r="G13" s="34"/>
      <c r="I13" s="3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S33"/>
  <sheetViews>
    <sheetView rightToLeft="1" view="pageBreakPreview" zoomScale="98" zoomScaleNormal="100" zoomScaleSheetLayoutView="98" workbookViewId="0">
      <selection activeCell="S10" sqref="S10"/>
    </sheetView>
  </sheetViews>
  <sheetFormatPr defaultRowHeight="12.75"/>
  <cols>
    <col min="1" max="1" width="25.42578125" bestFit="1" customWidth="1"/>
    <col min="2" max="2" width="1.28515625" customWidth="1"/>
    <col min="3" max="3" width="13.140625" bestFit="1" customWidth="1"/>
    <col min="4" max="4" width="1.28515625" customWidth="1"/>
    <col min="5" max="5" width="17.140625" bestFit="1" customWidth="1"/>
    <col min="6" max="6" width="1.28515625" customWidth="1"/>
    <col min="7" max="7" width="17.140625" bestFit="1" customWidth="1"/>
    <col min="8" max="8" width="1.28515625" customWidth="1"/>
    <col min="9" max="9" width="22.28515625" bestFit="1" customWidth="1"/>
    <col min="10" max="10" width="1.28515625" customWidth="1"/>
    <col min="11" max="11" width="13.140625" bestFit="1" customWidth="1"/>
    <col min="12" max="12" width="1.28515625" customWidth="1"/>
    <col min="13" max="13" width="17.140625" bestFit="1" customWidth="1"/>
    <col min="14" max="14" width="1.28515625" customWidth="1"/>
    <col min="15" max="15" width="17.140625" bestFit="1" customWidth="1"/>
    <col min="16" max="16" width="1.28515625" customWidth="1"/>
    <col min="17" max="17" width="22.28515625" bestFit="1" customWidth="1"/>
    <col min="18" max="18" width="17.140625" bestFit="1" customWidth="1"/>
    <col min="19" max="19" width="16.28515625" bestFit="1" customWidth="1"/>
  </cols>
  <sheetData>
    <row r="1" spans="1:19" ht="29.1" customHeight="1">
      <c r="A1" s="119" t="str">
        <f>سهام!A1</f>
        <v>صندوق حفظ ارزش دماوند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19" ht="21.75" customHeight="1">
      <c r="A2" s="119" t="s">
        <v>51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19" ht="21.75" customHeight="1">
      <c r="A3" s="119" t="str">
        <f>سهام!A3</f>
        <v>‫برای ماه منتهی به 31 خرداد  ماه 1405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</row>
    <row r="4" spans="1:19" ht="10.5" customHeight="1"/>
    <row r="5" spans="1:19" ht="13.5" customHeight="1">
      <c r="A5" s="136" t="s">
        <v>102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</row>
    <row r="6" spans="1:19" ht="14.45" customHeight="1">
      <c r="A6" s="121" t="s">
        <v>54</v>
      </c>
      <c r="C6" s="121" t="s">
        <v>66</v>
      </c>
      <c r="D6" s="121"/>
      <c r="E6" s="121"/>
      <c r="F6" s="121"/>
      <c r="G6" s="121"/>
      <c r="H6" s="121"/>
      <c r="I6" s="121"/>
      <c r="J6" s="9"/>
      <c r="K6" s="121" t="s">
        <v>67</v>
      </c>
      <c r="L6" s="121"/>
      <c r="M6" s="121"/>
      <c r="N6" s="121"/>
      <c r="O6" s="121"/>
      <c r="P6" s="121"/>
      <c r="Q6" s="121"/>
    </row>
    <row r="7" spans="1:19" ht="15" customHeight="1">
      <c r="A7" s="121"/>
      <c r="C7" s="8" t="s">
        <v>5</v>
      </c>
      <c r="D7" s="10"/>
      <c r="E7" s="8" t="s">
        <v>103</v>
      </c>
      <c r="F7" s="10"/>
      <c r="G7" s="8" t="s">
        <v>104</v>
      </c>
      <c r="H7" s="10"/>
      <c r="I7" s="8" t="s">
        <v>105</v>
      </c>
      <c r="J7" s="9"/>
      <c r="K7" s="8" t="s">
        <v>5</v>
      </c>
      <c r="L7" s="10"/>
      <c r="M7" s="8" t="s">
        <v>103</v>
      </c>
      <c r="N7" s="10"/>
      <c r="O7" s="8" t="s">
        <v>104</v>
      </c>
      <c r="P7" s="10"/>
      <c r="Q7" s="8" t="s">
        <v>105</v>
      </c>
    </row>
    <row r="8" spans="1:19" ht="18.75">
      <c r="A8" s="6" t="s">
        <v>18</v>
      </c>
      <c r="C8" s="86">
        <v>179488842</v>
      </c>
      <c r="D8" s="86"/>
      <c r="E8" s="86">
        <v>79598072383</v>
      </c>
      <c r="F8" s="86"/>
      <c r="G8" s="86">
        <v>49248307159</v>
      </c>
      <c r="H8" s="86"/>
      <c r="I8" s="86">
        <f>E8-G8</f>
        <v>30349765224</v>
      </c>
      <c r="J8" s="86"/>
      <c r="K8" s="86">
        <v>179488842</v>
      </c>
      <c r="L8" s="86"/>
      <c r="M8" s="86">
        <v>79598072383</v>
      </c>
      <c r="N8" s="86"/>
      <c r="O8" s="86">
        <v>49248307159</v>
      </c>
      <c r="P8" s="86"/>
      <c r="Q8" s="86">
        <f>M8-O8</f>
        <v>30349765224</v>
      </c>
      <c r="R8" s="34"/>
    </row>
    <row r="9" spans="1:19" ht="21.75" customHeight="1">
      <c r="A9" s="6" t="s">
        <v>163</v>
      </c>
      <c r="C9" s="86">
        <v>219000</v>
      </c>
      <c r="D9" s="87"/>
      <c r="E9" s="86">
        <v>6734650377</v>
      </c>
      <c r="F9" s="87"/>
      <c r="G9" s="86">
        <v>5243782217</v>
      </c>
      <c r="H9" s="87"/>
      <c r="I9" s="86">
        <f t="shared" ref="I9:I25" si="0">E9-G9</f>
        <v>1490868160</v>
      </c>
      <c r="J9" s="87"/>
      <c r="K9" s="86">
        <v>219000</v>
      </c>
      <c r="L9" s="87"/>
      <c r="M9" s="86">
        <v>6734650377</v>
      </c>
      <c r="N9" s="87"/>
      <c r="O9" s="86">
        <v>5243782217</v>
      </c>
      <c r="P9" s="87"/>
      <c r="Q9" s="86">
        <f t="shared" ref="Q9:Q25" si="1">M9-O9</f>
        <v>1490868160</v>
      </c>
      <c r="R9" s="34"/>
      <c r="S9" s="33"/>
    </row>
    <row r="10" spans="1:19" ht="21.75" customHeight="1">
      <c r="A10" s="6" t="s">
        <v>144</v>
      </c>
      <c r="C10" s="86">
        <v>750000</v>
      </c>
      <c r="D10" s="87"/>
      <c r="E10" s="86">
        <v>10970490980</v>
      </c>
      <c r="F10" s="87"/>
      <c r="G10" s="86">
        <v>5320424590</v>
      </c>
      <c r="H10" s="87"/>
      <c r="I10" s="86">
        <f t="shared" si="0"/>
        <v>5650066390</v>
      </c>
      <c r="J10" s="87"/>
      <c r="K10" s="86">
        <v>750000</v>
      </c>
      <c r="L10" s="87"/>
      <c r="M10" s="86">
        <v>10970490980</v>
      </c>
      <c r="N10" s="87"/>
      <c r="O10" s="86">
        <v>5320424590</v>
      </c>
      <c r="P10" s="87"/>
      <c r="Q10" s="86">
        <f t="shared" si="1"/>
        <v>5650066390</v>
      </c>
      <c r="R10" s="34"/>
      <c r="S10" s="33"/>
    </row>
    <row r="11" spans="1:19" ht="21.75" customHeight="1">
      <c r="A11" s="6" t="s">
        <v>131</v>
      </c>
      <c r="C11" s="86">
        <v>400001</v>
      </c>
      <c r="D11" s="87"/>
      <c r="E11" s="86">
        <v>3167325849</v>
      </c>
      <c r="F11" s="87"/>
      <c r="G11" s="86">
        <v>1550945704</v>
      </c>
      <c r="H11" s="87"/>
      <c r="I11" s="86">
        <f t="shared" si="0"/>
        <v>1616380145</v>
      </c>
      <c r="J11" s="87"/>
      <c r="K11" s="86">
        <v>400001</v>
      </c>
      <c r="L11" s="87"/>
      <c r="M11" s="86">
        <v>3167325849</v>
      </c>
      <c r="N11" s="87"/>
      <c r="O11" s="86">
        <v>1550945704</v>
      </c>
      <c r="P11" s="87"/>
      <c r="Q11" s="86">
        <f t="shared" si="1"/>
        <v>1616380145</v>
      </c>
      <c r="R11" s="34"/>
      <c r="S11" s="33"/>
    </row>
    <row r="12" spans="1:19" ht="21.75" customHeight="1">
      <c r="A12" s="6" t="s">
        <v>160</v>
      </c>
      <c r="C12" s="86">
        <v>1000000</v>
      </c>
      <c r="D12" s="87"/>
      <c r="E12" s="86">
        <v>11867549281</v>
      </c>
      <c r="F12" s="87"/>
      <c r="G12" s="86">
        <v>9124036723</v>
      </c>
      <c r="H12" s="87"/>
      <c r="I12" s="86">
        <f t="shared" si="0"/>
        <v>2743512558</v>
      </c>
      <c r="J12" s="87"/>
      <c r="K12" s="86">
        <v>1000000</v>
      </c>
      <c r="L12" s="87"/>
      <c r="M12" s="86">
        <v>11867549281</v>
      </c>
      <c r="N12" s="87"/>
      <c r="O12" s="86">
        <v>9124036723</v>
      </c>
      <c r="P12" s="87"/>
      <c r="Q12" s="86">
        <f t="shared" si="1"/>
        <v>2743512558</v>
      </c>
      <c r="R12" s="34"/>
      <c r="S12" s="33"/>
    </row>
    <row r="13" spans="1:19" ht="21.75" customHeight="1">
      <c r="A13" s="6" t="s">
        <v>25</v>
      </c>
      <c r="C13" s="86">
        <v>562500</v>
      </c>
      <c r="D13" s="87"/>
      <c r="E13" s="86">
        <v>5007134845</v>
      </c>
      <c r="F13" s="87"/>
      <c r="G13" s="86">
        <v>3613539375</v>
      </c>
      <c r="H13" s="87"/>
      <c r="I13" s="86">
        <f t="shared" si="0"/>
        <v>1393595470</v>
      </c>
      <c r="J13" s="87"/>
      <c r="K13" s="86">
        <v>562500</v>
      </c>
      <c r="L13" s="87"/>
      <c r="M13" s="86">
        <v>5007134845</v>
      </c>
      <c r="N13" s="87"/>
      <c r="O13" s="86">
        <v>3613539375</v>
      </c>
      <c r="P13" s="87"/>
      <c r="Q13" s="86">
        <f t="shared" si="1"/>
        <v>1393595470</v>
      </c>
      <c r="R13" s="34"/>
      <c r="S13" s="33"/>
    </row>
    <row r="14" spans="1:19" ht="21.75" customHeight="1">
      <c r="A14" s="6" t="s">
        <v>15</v>
      </c>
      <c r="C14" s="86">
        <v>5087404</v>
      </c>
      <c r="D14" s="87"/>
      <c r="E14" s="86">
        <v>46240398030</v>
      </c>
      <c r="F14" s="87"/>
      <c r="G14" s="86">
        <v>23597610096</v>
      </c>
      <c r="H14" s="87"/>
      <c r="I14" s="86">
        <f t="shared" si="0"/>
        <v>22642787934</v>
      </c>
      <c r="J14" s="87"/>
      <c r="K14" s="86">
        <v>5087404</v>
      </c>
      <c r="L14" s="87"/>
      <c r="M14" s="86">
        <v>46240398030</v>
      </c>
      <c r="N14" s="87"/>
      <c r="O14" s="86">
        <v>23597610096</v>
      </c>
      <c r="P14" s="87"/>
      <c r="Q14" s="86">
        <f t="shared" si="1"/>
        <v>22642787934</v>
      </c>
      <c r="R14" s="34"/>
      <c r="S14" s="33"/>
    </row>
    <row r="15" spans="1:19" ht="21.75" customHeight="1">
      <c r="A15" s="6" t="s">
        <v>151</v>
      </c>
      <c r="C15" s="86">
        <v>1514747</v>
      </c>
      <c r="D15" s="87"/>
      <c r="E15" s="86">
        <v>23883485060</v>
      </c>
      <c r="F15" s="87"/>
      <c r="G15" s="86">
        <v>16001662021</v>
      </c>
      <c r="H15" s="87"/>
      <c r="I15" s="86">
        <f t="shared" si="0"/>
        <v>7881823039</v>
      </c>
      <c r="J15" s="87"/>
      <c r="K15" s="86">
        <v>1514747</v>
      </c>
      <c r="L15" s="87"/>
      <c r="M15" s="86">
        <v>23883485060</v>
      </c>
      <c r="N15" s="87"/>
      <c r="O15" s="86">
        <v>16001662021</v>
      </c>
      <c r="P15" s="87"/>
      <c r="Q15" s="86">
        <f t="shared" si="1"/>
        <v>7881823039</v>
      </c>
      <c r="R15" s="34"/>
      <c r="S15" s="33"/>
    </row>
    <row r="16" spans="1:19" ht="21.75" customHeight="1">
      <c r="A16" s="6" t="s">
        <v>129</v>
      </c>
      <c r="C16" s="86">
        <v>12451749</v>
      </c>
      <c r="D16" s="87"/>
      <c r="E16" s="86">
        <v>30738861426</v>
      </c>
      <c r="F16" s="87"/>
      <c r="G16" s="86">
        <v>20962570716</v>
      </c>
      <c r="H16" s="87"/>
      <c r="I16" s="86">
        <f t="shared" si="0"/>
        <v>9776290710</v>
      </c>
      <c r="J16" s="87"/>
      <c r="K16" s="86">
        <v>12451749</v>
      </c>
      <c r="L16" s="87"/>
      <c r="M16" s="86">
        <v>30738861426</v>
      </c>
      <c r="N16" s="87"/>
      <c r="O16" s="86">
        <v>20962570716</v>
      </c>
      <c r="P16" s="87"/>
      <c r="Q16" s="86">
        <f t="shared" si="1"/>
        <v>9776290710</v>
      </c>
      <c r="R16" s="34"/>
      <c r="S16" s="33"/>
    </row>
    <row r="17" spans="1:19" ht="21.75" customHeight="1">
      <c r="A17" s="6" t="s">
        <v>147</v>
      </c>
      <c r="C17" s="86">
        <v>1946439</v>
      </c>
      <c r="D17" s="87"/>
      <c r="E17" s="86">
        <v>25629585612</v>
      </c>
      <c r="F17" s="87"/>
      <c r="G17" s="86">
        <v>17457135130</v>
      </c>
      <c r="H17" s="87"/>
      <c r="I17" s="86">
        <f t="shared" si="0"/>
        <v>8172450482</v>
      </c>
      <c r="J17" s="87"/>
      <c r="K17" s="86">
        <v>1946439</v>
      </c>
      <c r="L17" s="87"/>
      <c r="M17" s="86">
        <v>25629585612</v>
      </c>
      <c r="N17" s="87"/>
      <c r="O17" s="86">
        <v>17457135130</v>
      </c>
      <c r="P17" s="87"/>
      <c r="Q17" s="86">
        <f t="shared" si="1"/>
        <v>8172450482</v>
      </c>
      <c r="R17" s="34"/>
      <c r="S17" s="33"/>
    </row>
    <row r="18" spans="1:19" ht="21.75" customHeight="1">
      <c r="A18" s="6" t="s">
        <v>130</v>
      </c>
      <c r="C18" s="86">
        <v>16470588</v>
      </c>
      <c r="D18" s="87"/>
      <c r="E18" s="86">
        <v>32697468912</v>
      </c>
      <c r="F18" s="87"/>
      <c r="G18" s="86">
        <v>18801533427</v>
      </c>
      <c r="H18" s="87"/>
      <c r="I18" s="86">
        <f t="shared" si="0"/>
        <v>13895935485</v>
      </c>
      <c r="J18" s="87"/>
      <c r="K18" s="86">
        <v>16470588</v>
      </c>
      <c r="L18" s="87"/>
      <c r="M18" s="86">
        <v>32697468912</v>
      </c>
      <c r="N18" s="87"/>
      <c r="O18" s="86">
        <v>18801533427</v>
      </c>
      <c r="P18" s="87"/>
      <c r="Q18" s="86">
        <f t="shared" si="1"/>
        <v>13895935485</v>
      </c>
      <c r="R18" s="34"/>
      <c r="S18" s="33"/>
    </row>
    <row r="19" spans="1:19" ht="21.75" customHeight="1">
      <c r="A19" s="6" t="s">
        <v>19</v>
      </c>
      <c r="C19" s="86">
        <v>124800000</v>
      </c>
      <c r="D19" s="87"/>
      <c r="E19" s="86">
        <v>68040353371</v>
      </c>
      <c r="F19" s="87"/>
      <c r="G19" s="86">
        <v>61016095443</v>
      </c>
      <c r="H19" s="87"/>
      <c r="I19" s="86">
        <f t="shared" si="0"/>
        <v>7024257928</v>
      </c>
      <c r="J19" s="87"/>
      <c r="K19" s="86">
        <v>124800000</v>
      </c>
      <c r="L19" s="87"/>
      <c r="M19" s="86">
        <v>68040353371</v>
      </c>
      <c r="N19" s="87"/>
      <c r="O19" s="86">
        <v>61016095443</v>
      </c>
      <c r="P19" s="87"/>
      <c r="Q19" s="86">
        <f t="shared" si="1"/>
        <v>7024257928</v>
      </c>
      <c r="R19" s="34"/>
      <c r="S19" s="33"/>
    </row>
    <row r="20" spans="1:19" ht="21.75" customHeight="1">
      <c r="A20" s="6" t="s">
        <v>20</v>
      </c>
      <c r="C20" s="86">
        <v>3250000</v>
      </c>
      <c r="D20" s="87"/>
      <c r="E20" s="86">
        <v>4123530001</v>
      </c>
      <c r="F20" s="87"/>
      <c r="G20" s="86">
        <v>2754171090</v>
      </c>
      <c r="H20" s="87"/>
      <c r="I20" s="86">
        <f t="shared" si="0"/>
        <v>1369358911</v>
      </c>
      <c r="J20" s="87"/>
      <c r="K20" s="86">
        <v>3250000</v>
      </c>
      <c r="L20" s="87"/>
      <c r="M20" s="86">
        <v>4123530001</v>
      </c>
      <c r="N20" s="87"/>
      <c r="O20" s="86">
        <v>2754171090</v>
      </c>
      <c r="P20" s="87"/>
      <c r="Q20" s="86">
        <f t="shared" si="1"/>
        <v>1369358911</v>
      </c>
      <c r="R20" s="34"/>
      <c r="S20" s="33"/>
    </row>
    <row r="21" spans="1:19" ht="21.75" customHeight="1">
      <c r="A21" s="6" t="s">
        <v>12</v>
      </c>
      <c r="C21" s="86">
        <v>193959516</v>
      </c>
      <c r="D21" s="87"/>
      <c r="E21" s="86">
        <v>125083356179</v>
      </c>
      <c r="F21" s="87"/>
      <c r="G21" s="86">
        <v>66001729662</v>
      </c>
      <c r="H21" s="87"/>
      <c r="I21" s="86">
        <f t="shared" si="0"/>
        <v>59081626517</v>
      </c>
      <c r="J21" s="87"/>
      <c r="K21" s="86">
        <v>193959516</v>
      </c>
      <c r="L21" s="87"/>
      <c r="M21" s="86">
        <v>125083356179</v>
      </c>
      <c r="N21" s="87"/>
      <c r="O21" s="86">
        <v>66001729662</v>
      </c>
      <c r="P21" s="87"/>
      <c r="Q21" s="86">
        <f t="shared" si="1"/>
        <v>59081626517</v>
      </c>
      <c r="R21" s="34"/>
      <c r="S21" s="33"/>
    </row>
    <row r="22" spans="1:19" ht="21.75" customHeight="1">
      <c r="A22" s="6" t="s">
        <v>14</v>
      </c>
      <c r="C22" s="86">
        <v>21616303</v>
      </c>
      <c r="D22" s="87"/>
      <c r="E22" s="86">
        <v>24723643221</v>
      </c>
      <c r="F22" s="87"/>
      <c r="G22" s="86">
        <v>19862408357</v>
      </c>
      <c r="H22" s="87"/>
      <c r="I22" s="86">
        <f t="shared" si="0"/>
        <v>4861234864</v>
      </c>
      <c r="J22" s="87"/>
      <c r="K22" s="86">
        <v>21616303</v>
      </c>
      <c r="L22" s="87"/>
      <c r="M22" s="86">
        <v>24723643221</v>
      </c>
      <c r="N22" s="87"/>
      <c r="O22" s="86">
        <v>19862408357</v>
      </c>
      <c r="P22" s="87"/>
      <c r="Q22" s="86">
        <f t="shared" si="1"/>
        <v>4861234864</v>
      </c>
      <c r="R22" s="34"/>
      <c r="S22" s="33"/>
    </row>
    <row r="23" spans="1:19" ht="21.75" customHeight="1">
      <c r="A23" s="6" t="s">
        <v>11</v>
      </c>
      <c r="C23" s="86">
        <v>42742290</v>
      </c>
      <c r="D23" s="87"/>
      <c r="E23" s="86">
        <v>22135379116</v>
      </c>
      <c r="F23" s="87"/>
      <c r="G23" s="86">
        <v>20736624253</v>
      </c>
      <c r="H23" s="87"/>
      <c r="I23" s="86">
        <f t="shared" si="0"/>
        <v>1398754863</v>
      </c>
      <c r="J23" s="87"/>
      <c r="K23" s="86">
        <v>42742290</v>
      </c>
      <c r="L23" s="87"/>
      <c r="M23" s="86">
        <v>22135379116</v>
      </c>
      <c r="N23" s="87"/>
      <c r="O23" s="86">
        <v>20736624253</v>
      </c>
      <c r="P23" s="87"/>
      <c r="Q23" s="86">
        <f t="shared" si="1"/>
        <v>1398754863</v>
      </c>
      <c r="R23" s="34"/>
      <c r="S23" s="33"/>
    </row>
    <row r="24" spans="1:19" ht="21.75" customHeight="1">
      <c r="A24" s="6" t="s">
        <v>74</v>
      </c>
      <c r="C24" s="86">
        <v>110000</v>
      </c>
      <c r="D24" s="87"/>
      <c r="E24" s="86">
        <v>109940187500</v>
      </c>
      <c r="F24" s="87"/>
      <c r="G24" s="86">
        <v>109880375000</v>
      </c>
      <c r="H24" s="87"/>
      <c r="I24" s="86">
        <f t="shared" si="0"/>
        <v>59812500</v>
      </c>
      <c r="J24" s="87"/>
      <c r="K24" s="86">
        <v>110000</v>
      </c>
      <c r="L24" s="87"/>
      <c r="M24" s="86">
        <v>109940187500</v>
      </c>
      <c r="N24" s="87"/>
      <c r="O24" s="86">
        <v>109880375000</v>
      </c>
      <c r="P24" s="87"/>
      <c r="Q24" s="86">
        <f t="shared" si="1"/>
        <v>59812500</v>
      </c>
      <c r="R24" s="34"/>
      <c r="S24" s="33"/>
    </row>
    <row r="25" spans="1:19" ht="21.75" customHeight="1">
      <c r="A25" s="6" t="s">
        <v>76</v>
      </c>
      <c r="C25" s="86">
        <v>48000</v>
      </c>
      <c r="D25" s="87"/>
      <c r="E25" s="86">
        <v>47973900000</v>
      </c>
      <c r="F25" s="87"/>
      <c r="G25" s="86">
        <v>47998665861</v>
      </c>
      <c r="H25" s="87"/>
      <c r="I25" s="86">
        <f t="shared" si="0"/>
        <v>-24765861</v>
      </c>
      <c r="J25" s="87"/>
      <c r="K25" s="86">
        <v>48000</v>
      </c>
      <c r="L25" s="87"/>
      <c r="M25" s="86">
        <v>47973900000</v>
      </c>
      <c r="N25" s="87"/>
      <c r="O25" s="86">
        <v>47998665861</v>
      </c>
      <c r="P25" s="87"/>
      <c r="Q25" s="86">
        <f t="shared" si="1"/>
        <v>-24765861</v>
      </c>
      <c r="R25" s="34"/>
      <c r="S25" s="33"/>
    </row>
    <row r="26" spans="1:19" ht="19.5" thickBot="1">
      <c r="C26" s="86"/>
      <c r="D26" s="87"/>
      <c r="E26" s="98">
        <f>SUM(E8:E25)</f>
        <v>678555372143</v>
      </c>
      <c r="F26" s="87"/>
      <c r="G26" s="98">
        <f>SUM(G8:G25)</f>
        <v>499171616824</v>
      </c>
      <c r="H26" s="87"/>
      <c r="I26" s="98">
        <f>SUM(I8:I25)</f>
        <v>179383755319</v>
      </c>
      <c r="J26" s="87"/>
      <c r="K26" s="86"/>
      <c r="L26" s="87"/>
      <c r="M26" s="98">
        <f>SUM(M8:M25)</f>
        <v>678555372143</v>
      </c>
      <c r="N26" s="87"/>
      <c r="O26" s="98">
        <f>SUM(O8:O25)</f>
        <v>499171616824</v>
      </c>
      <c r="P26" s="87"/>
      <c r="Q26" s="98">
        <f>SUM(Q8:Q25)</f>
        <v>179383755319</v>
      </c>
      <c r="R26" s="34"/>
      <c r="S26" s="106"/>
    </row>
    <row r="27" spans="1:19" ht="13.5" thickTop="1">
      <c r="I27" s="34"/>
      <c r="Q27" s="34"/>
      <c r="R27" s="34"/>
      <c r="S27" s="34"/>
    </row>
    <row r="28" spans="1:19" ht="18.75">
      <c r="G28" s="34"/>
      <c r="I28" s="34"/>
      <c r="M28" s="24"/>
      <c r="Q28" s="33"/>
      <c r="R28" s="34"/>
    </row>
    <row r="29" spans="1:19">
      <c r="G29" s="34"/>
      <c r="I29" s="34"/>
      <c r="M29" s="34"/>
      <c r="Q29" s="33"/>
      <c r="R29" s="34"/>
    </row>
    <row r="30" spans="1:19">
      <c r="G30" s="34"/>
      <c r="I30" s="33"/>
      <c r="Q30" s="33"/>
    </row>
    <row r="31" spans="1:19">
      <c r="G31" s="34"/>
      <c r="I31" s="34"/>
      <c r="Q31" s="33"/>
    </row>
    <row r="32" spans="1:19">
      <c r="Q32" s="34"/>
    </row>
    <row r="33" spans="17:17">
      <c r="Q33" s="3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370078740157483" right="0.39370078740157483" top="0.39370078740157483" bottom="0.39370078740157483" header="0" footer="0"/>
  <pageSetup scale="6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105A6-96A2-4B80-A786-2856CC729569}">
  <sheetPr>
    <tabColor rgb="FF92D050"/>
    <pageSetUpPr fitToPage="1"/>
  </sheetPr>
  <dimension ref="A1:S43"/>
  <sheetViews>
    <sheetView rightToLeft="1" view="pageBreakPreview" topLeftCell="A37" zoomScaleNormal="100" zoomScaleSheetLayoutView="100" workbookViewId="0">
      <selection activeCell="R64" sqref="R64"/>
    </sheetView>
  </sheetViews>
  <sheetFormatPr defaultRowHeight="12.75"/>
  <cols>
    <col min="1" max="1" width="28.42578125" style="49" bestFit="1" customWidth="1"/>
    <col min="2" max="2" width="1.28515625" style="49" customWidth="1"/>
    <col min="3" max="3" width="15.85546875" style="49" bestFit="1" customWidth="1"/>
    <col min="4" max="4" width="1.28515625" style="49" customWidth="1"/>
    <col min="5" max="5" width="19.85546875" style="49" bestFit="1" customWidth="1"/>
    <col min="6" max="6" width="1.28515625" style="49" customWidth="1"/>
    <col min="7" max="7" width="20.140625" style="49" bestFit="1" customWidth="1"/>
    <col min="8" max="8" width="1.28515625" style="49" customWidth="1"/>
    <col min="9" max="9" width="27.7109375" style="49" bestFit="1" customWidth="1"/>
    <col min="10" max="10" width="1.28515625" style="49" customWidth="1"/>
    <col min="11" max="11" width="15.85546875" style="49" bestFit="1" customWidth="1"/>
    <col min="12" max="12" width="1.28515625" style="49" customWidth="1"/>
    <col min="13" max="13" width="20.140625" style="49" bestFit="1" customWidth="1"/>
    <col min="14" max="14" width="1.28515625" style="49" customWidth="1"/>
    <col min="15" max="15" width="19.7109375" style="49" bestFit="1" customWidth="1"/>
    <col min="16" max="16" width="1.28515625" style="49" customWidth="1"/>
    <col min="17" max="17" width="27.7109375" style="49" bestFit="1" customWidth="1"/>
    <col min="18" max="18" width="16" style="49" bestFit="1" customWidth="1"/>
    <col min="19" max="19" width="15" style="49" bestFit="1" customWidth="1"/>
    <col min="20" max="20" width="11.140625" style="49" bestFit="1" customWidth="1"/>
    <col min="21" max="16384" width="9.140625" style="49"/>
  </cols>
  <sheetData>
    <row r="1" spans="1:19" ht="29.1" customHeight="1">
      <c r="A1" s="129" t="s">
        <v>133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9" ht="21.75" customHeight="1">
      <c r="A2" s="129" t="s">
        <v>51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9" ht="21.75" customHeight="1">
      <c r="A3" s="130" t="str">
        <f>سهام!A3</f>
        <v>‫برای ماه منتهی به 31 خرداد  ماه 1405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</row>
    <row r="4" spans="1:19" ht="14.45" customHeight="1"/>
    <row r="5" spans="1:19" ht="14.45" customHeight="1">
      <c r="A5" s="131" t="s">
        <v>106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</row>
    <row r="6" spans="1:19" ht="14.45" customHeight="1">
      <c r="A6" s="132" t="s">
        <v>54</v>
      </c>
      <c r="C6" s="132" t="s">
        <v>66</v>
      </c>
      <c r="D6" s="132"/>
      <c r="E6" s="132"/>
      <c r="F6" s="132"/>
      <c r="G6" s="132"/>
      <c r="H6" s="132"/>
      <c r="I6" s="132"/>
      <c r="K6" s="132" t="s">
        <v>67</v>
      </c>
      <c r="L6" s="132"/>
      <c r="M6" s="132"/>
      <c r="N6" s="132"/>
      <c r="O6" s="132"/>
      <c r="P6" s="132"/>
      <c r="Q6" s="132"/>
    </row>
    <row r="7" spans="1:19" ht="29.1" customHeight="1">
      <c r="A7" s="132"/>
      <c r="C7" s="72" t="s">
        <v>5</v>
      </c>
      <c r="D7" s="50"/>
      <c r="E7" s="72" t="s">
        <v>7</v>
      </c>
      <c r="F7" s="50"/>
      <c r="G7" s="72" t="s">
        <v>104</v>
      </c>
      <c r="H7" s="50"/>
      <c r="I7" s="72" t="s">
        <v>107</v>
      </c>
      <c r="K7" s="72" t="s">
        <v>5</v>
      </c>
      <c r="L7" s="50"/>
      <c r="M7" s="72" t="s">
        <v>7</v>
      </c>
      <c r="N7" s="50"/>
      <c r="O7" s="72" t="s">
        <v>104</v>
      </c>
      <c r="P7" s="50"/>
      <c r="Q7" s="72" t="s">
        <v>107</v>
      </c>
    </row>
    <row r="8" spans="1:19" ht="21.75" customHeight="1">
      <c r="A8" s="79" t="s">
        <v>19</v>
      </c>
      <c r="B8" s="54"/>
      <c r="C8" s="101">
        <v>250000000</v>
      </c>
      <c r="D8" s="102"/>
      <c r="E8" s="101">
        <v>145367555000</v>
      </c>
      <c r="F8" s="102"/>
      <c r="G8" s="101">
        <v>123289547540</v>
      </c>
      <c r="H8" s="102"/>
      <c r="I8" s="103">
        <f>E8-G8</f>
        <v>22078007460</v>
      </c>
      <c r="J8" s="102"/>
      <c r="K8" s="101">
        <v>250000000</v>
      </c>
      <c r="L8" s="102"/>
      <c r="M8" s="101">
        <v>145367555000</v>
      </c>
      <c r="N8" s="102"/>
      <c r="O8" s="101">
        <v>123289547540</v>
      </c>
      <c r="P8" s="102"/>
      <c r="Q8" s="103">
        <f>M8-O8</f>
        <v>22078007460</v>
      </c>
      <c r="R8" s="66"/>
      <c r="S8" s="67"/>
    </row>
    <row r="9" spans="1:19" ht="21.75" customHeight="1">
      <c r="A9" s="55" t="s">
        <v>11</v>
      </c>
      <c r="B9" s="54"/>
      <c r="C9" s="103">
        <v>408157671</v>
      </c>
      <c r="D9" s="102"/>
      <c r="E9" s="103">
        <v>235711520302</v>
      </c>
      <c r="F9" s="102"/>
      <c r="G9" s="103">
        <v>199666287813</v>
      </c>
      <c r="H9" s="102"/>
      <c r="I9" s="103">
        <f t="shared" ref="I9:I38" si="0">E9-G9</f>
        <v>36045232489</v>
      </c>
      <c r="J9" s="102"/>
      <c r="K9" s="103">
        <v>408157671</v>
      </c>
      <c r="L9" s="102"/>
      <c r="M9" s="103">
        <v>235711520302</v>
      </c>
      <c r="N9" s="102"/>
      <c r="O9" s="103">
        <v>199666287813</v>
      </c>
      <c r="P9" s="102"/>
      <c r="Q9" s="103">
        <f t="shared" ref="Q9:Q38" si="1">M9-O9</f>
        <v>36045232489</v>
      </c>
      <c r="R9" s="66"/>
      <c r="S9" s="67"/>
    </row>
    <row r="10" spans="1:19" ht="21.75" customHeight="1">
      <c r="A10" s="55" t="s">
        <v>23</v>
      </c>
      <c r="B10" s="54"/>
      <c r="C10" s="103">
        <v>2119000</v>
      </c>
      <c r="D10" s="102"/>
      <c r="E10" s="103">
        <v>1396139766</v>
      </c>
      <c r="F10" s="102"/>
      <c r="G10" s="103">
        <v>754840626</v>
      </c>
      <c r="H10" s="102"/>
      <c r="I10" s="103">
        <f t="shared" si="0"/>
        <v>641299140</v>
      </c>
      <c r="J10" s="102"/>
      <c r="K10" s="103">
        <v>2119000</v>
      </c>
      <c r="L10" s="102"/>
      <c r="M10" s="103">
        <v>1396139766</v>
      </c>
      <c r="N10" s="102"/>
      <c r="O10" s="103">
        <v>754840626</v>
      </c>
      <c r="P10" s="102"/>
      <c r="Q10" s="103">
        <f t="shared" si="1"/>
        <v>641299140</v>
      </c>
      <c r="R10" s="66"/>
      <c r="S10" s="67"/>
    </row>
    <row r="11" spans="1:19" ht="21.75" customHeight="1">
      <c r="A11" s="55" t="s">
        <v>24</v>
      </c>
      <c r="B11" s="54"/>
      <c r="C11" s="103">
        <v>3000000</v>
      </c>
      <c r="D11" s="102"/>
      <c r="E11" s="103">
        <v>65727964800</v>
      </c>
      <c r="F11" s="102"/>
      <c r="G11" s="103">
        <v>53432814074</v>
      </c>
      <c r="H11" s="102"/>
      <c r="I11" s="103">
        <f t="shared" si="0"/>
        <v>12295150726</v>
      </c>
      <c r="J11" s="102"/>
      <c r="K11" s="103">
        <v>3000000</v>
      </c>
      <c r="L11" s="102"/>
      <c r="M11" s="103">
        <v>65727964800</v>
      </c>
      <c r="N11" s="102"/>
      <c r="O11" s="103">
        <v>53432814074</v>
      </c>
      <c r="P11" s="102"/>
      <c r="Q11" s="103">
        <f t="shared" si="1"/>
        <v>12295150726</v>
      </c>
      <c r="R11" s="66"/>
      <c r="S11" s="67"/>
    </row>
    <row r="12" spans="1:19" ht="21.75" customHeight="1">
      <c r="A12" s="55" t="s">
        <v>15</v>
      </c>
      <c r="B12" s="54"/>
      <c r="C12" s="103">
        <v>20000000</v>
      </c>
      <c r="D12" s="102"/>
      <c r="E12" s="103">
        <v>180990048000</v>
      </c>
      <c r="F12" s="102"/>
      <c r="G12" s="103">
        <v>94184903355</v>
      </c>
      <c r="H12" s="102"/>
      <c r="I12" s="103">
        <f t="shared" si="0"/>
        <v>86805144645</v>
      </c>
      <c r="J12" s="102"/>
      <c r="K12" s="103">
        <v>20000000</v>
      </c>
      <c r="L12" s="102"/>
      <c r="M12" s="103">
        <v>180990048000</v>
      </c>
      <c r="N12" s="102"/>
      <c r="O12" s="103">
        <v>94184903355</v>
      </c>
      <c r="P12" s="102"/>
      <c r="Q12" s="103">
        <f t="shared" si="1"/>
        <v>86805144645</v>
      </c>
      <c r="R12" s="66"/>
      <c r="S12" s="67"/>
    </row>
    <row r="13" spans="1:19" ht="21.75" customHeight="1">
      <c r="A13" s="55" t="s">
        <v>145</v>
      </c>
      <c r="B13" s="54"/>
      <c r="C13" s="103">
        <v>4700000</v>
      </c>
      <c r="D13" s="102"/>
      <c r="E13" s="103">
        <v>53025916530</v>
      </c>
      <c r="F13" s="102"/>
      <c r="G13" s="103">
        <v>43792995318</v>
      </c>
      <c r="H13" s="102"/>
      <c r="I13" s="103">
        <f t="shared" si="0"/>
        <v>9232921212</v>
      </c>
      <c r="J13" s="102"/>
      <c r="K13" s="103">
        <v>4700000</v>
      </c>
      <c r="L13" s="102"/>
      <c r="M13" s="103">
        <v>53025916530</v>
      </c>
      <c r="N13" s="102"/>
      <c r="O13" s="103">
        <v>43792995318</v>
      </c>
      <c r="P13" s="102"/>
      <c r="Q13" s="103">
        <f t="shared" si="1"/>
        <v>9232921212</v>
      </c>
      <c r="R13" s="66"/>
      <c r="S13" s="67"/>
    </row>
    <row r="14" spans="1:19" ht="21.75" customHeight="1">
      <c r="A14" s="55" t="s">
        <v>149</v>
      </c>
      <c r="B14" s="54"/>
      <c r="C14" s="103">
        <v>500000</v>
      </c>
      <c r="D14" s="102"/>
      <c r="E14" s="103">
        <v>34932865350</v>
      </c>
      <c r="F14" s="102"/>
      <c r="G14" s="103">
        <v>24096284680</v>
      </c>
      <c r="H14" s="102"/>
      <c r="I14" s="103">
        <f t="shared" si="0"/>
        <v>10836580670</v>
      </c>
      <c r="J14" s="102"/>
      <c r="K14" s="103">
        <v>500000</v>
      </c>
      <c r="L14" s="102"/>
      <c r="M14" s="103">
        <v>34932865350</v>
      </c>
      <c r="N14" s="102"/>
      <c r="O14" s="103">
        <v>24096284680</v>
      </c>
      <c r="P14" s="102"/>
      <c r="Q14" s="103">
        <f t="shared" si="1"/>
        <v>10836580670</v>
      </c>
      <c r="R14" s="66"/>
      <c r="S14" s="67"/>
    </row>
    <row r="15" spans="1:19" ht="21.75" customHeight="1">
      <c r="A15" s="55" t="s">
        <v>128</v>
      </c>
      <c r="B15" s="54"/>
      <c r="C15" s="103">
        <v>63322195</v>
      </c>
      <c r="D15" s="102"/>
      <c r="E15" s="103">
        <v>98144699943</v>
      </c>
      <c r="F15" s="102"/>
      <c r="G15" s="103">
        <v>65446555353</v>
      </c>
      <c r="H15" s="102"/>
      <c r="I15" s="103">
        <f t="shared" si="0"/>
        <v>32698144590</v>
      </c>
      <c r="J15" s="102"/>
      <c r="K15" s="103">
        <v>63322195</v>
      </c>
      <c r="L15" s="102"/>
      <c r="M15" s="103">
        <v>98144699943</v>
      </c>
      <c r="N15" s="102"/>
      <c r="O15" s="103">
        <v>65446555353</v>
      </c>
      <c r="P15" s="102"/>
      <c r="Q15" s="103">
        <f t="shared" si="1"/>
        <v>32698144590</v>
      </c>
      <c r="R15" s="66"/>
      <c r="S15" s="67"/>
    </row>
    <row r="16" spans="1:19" ht="21.75" customHeight="1">
      <c r="A16" s="55" t="s">
        <v>14</v>
      </c>
      <c r="B16" s="54"/>
      <c r="C16" s="103">
        <v>182462192</v>
      </c>
      <c r="D16" s="102"/>
      <c r="E16" s="103">
        <v>240798839810</v>
      </c>
      <c r="F16" s="102"/>
      <c r="G16" s="103">
        <v>169283394905</v>
      </c>
      <c r="H16" s="102"/>
      <c r="I16" s="103">
        <f t="shared" si="0"/>
        <v>71515444905</v>
      </c>
      <c r="J16" s="102"/>
      <c r="K16" s="103">
        <v>182462192</v>
      </c>
      <c r="L16" s="102"/>
      <c r="M16" s="103">
        <v>240798839810</v>
      </c>
      <c r="N16" s="102"/>
      <c r="O16" s="103">
        <v>169283394905</v>
      </c>
      <c r="P16" s="102"/>
      <c r="Q16" s="103">
        <f t="shared" si="1"/>
        <v>71515444905</v>
      </c>
      <c r="R16" s="66"/>
      <c r="S16" s="67"/>
    </row>
    <row r="17" spans="1:19" ht="21.75" customHeight="1">
      <c r="A17" s="55" t="s">
        <v>12</v>
      </c>
      <c r="B17" s="54"/>
      <c r="C17" s="103">
        <v>124957845</v>
      </c>
      <c r="D17" s="102"/>
      <c r="E17" s="103">
        <v>80346764716</v>
      </c>
      <c r="F17" s="102"/>
      <c r="G17" s="103">
        <v>43149188451</v>
      </c>
      <c r="H17" s="102"/>
      <c r="I17" s="103">
        <f t="shared" si="0"/>
        <v>37197576265</v>
      </c>
      <c r="J17" s="102"/>
      <c r="K17" s="103">
        <v>124957845</v>
      </c>
      <c r="L17" s="102"/>
      <c r="M17" s="103">
        <v>80346764716</v>
      </c>
      <c r="N17" s="102"/>
      <c r="O17" s="103">
        <v>43149188451</v>
      </c>
      <c r="P17" s="102"/>
      <c r="Q17" s="103">
        <f t="shared" si="1"/>
        <v>37197576265</v>
      </c>
      <c r="R17" s="66"/>
      <c r="S17" s="67"/>
    </row>
    <row r="18" spans="1:19" ht="21.75" customHeight="1">
      <c r="A18" s="55" t="s">
        <v>13</v>
      </c>
      <c r="B18" s="54"/>
      <c r="C18" s="103">
        <v>10857025</v>
      </c>
      <c r="D18" s="102"/>
      <c r="E18" s="103">
        <v>7648901139</v>
      </c>
      <c r="F18" s="102"/>
      <c r="G18" s="103">
        <v>4826348888</v>
      </c>
      <c r="H18" s="102"/>
      <c r="I18" s="103">
        <f t="shared" si="0"/>
        <v>2822552251</v>
      </c>
      <c r="J18" s="102"/>
      <c r="K18" s="103">
        <v>10857025</v>
      </c>
      <c r="L18" s="102"/>
      <c r="M18" s="103">
        <v>7648901139</v>
      </c>
      <c r="N18" s="102"/>
      <c r="O18" s="103">
        <v>4826348888</v>
      </c>
      <c r="P18" s="102"/>
      <c r="Q18" s="103">
        <f t="shared" si="1"/>
        <v>2822552251</v>
      </c>
      <c r="R18" s="66"/>
      <c r="S18" s="67"/>
    </row>
    <row r="19" spans="1:19" ht="21.75" customHeight="1">
      <c r="A19" s="55" t="s">
        <v>164</v>
      </c>
      <c r="B19" s="54"/>
      <c r="C19" s="103">
        <v>1400000</v>
      </c>
      <c r="D19" s="102"/>
      <c r="E19" s="103">
        <v>41758690680</v>
      </c>
      <c r="F19" s="102"/>
      <c r="G19" s="103">
        <v>33139117421</v>
      </c>
      <c r="H19" s="102"/>
      <c r="I19" s="103">
        <f t="shared" si="0"/>
        <v>8619573259</v>
      </c>
      <c r="J19" s="102"/>
      <c r="K19" s="103">
        <v>1400000</v>
      </c>
      <c r="L19" s="102"/>
      <c r="M19" s="103">
        <v>41758690680</v>
      </c>
      <c r="N19" s="102"/>
      <c r="O19" s="103">
        <v>33139117421</v>
      </c>
      <c r="P19" s="102"/>
      <c r="Q19" s="103">
        <f t="shared" si="1"/>
        <v>8619573259</v>
      </c>
      <c r="R19" s="66"/>
      <c r="S19" s="67"/>
    </row>
    <row r="20" spans="1:19" ht="21.75" customHeight="1">
      <c r="A20" s="55" t="s">
        <v>156</v>
      </c>
      <c r="B20" s="54"/>
      <c r="C20" s="103">
        <v>8000000</v>
      </c>
      <c r="D20" s="102"/>
      <c r="E20" s="103">
        <v>64219714400</v>
      </c>
      <c r="F20" s="102"/>
      <c r="G20" s="103">
        <v>58780287757</v>
      </c>
      <c r="H20" s="102"/>
      <c r="I20" s="103">
        <f t="shared" si="0"/>
        <v>5439426643</v>
      </c>
      <c r="J20" s="102"/>
      <c r="K20" s="103">
        <v>8000000</v>
      </c>
      <c r="L20" s="102"/>
      <c r="M20" s="103">
        <v>64219714400</v>
      </c>
      <c r="N20" s="102"/>
      <c r="O20" s="103">
        <v>58780287757</v>
      </c>
      <c r="P20" s="102"/>
      <c r="Q20" s="103">
        <f t="shared" si="1"/>
        <v>5439426643</v>
      </c>
      <c r="R20" s="66"/>
      <c r="S20" s="67"/>
    </row>
    <row r="21" spans="1:19" ht="21.75" customHeight="1">
      <c r="A21" s="55" t="s">
        <v>150</v>
      </c>
      <c r="B21" s="54"/>
      <c r="C21" s="103">
        <v>1366065</v>
      </c>
      <c r="D21" s="102"/>
      <c r="E21" s="103">
        <v>1173867604</v>
      </c>
      <c r="F21" s="102"/>
      <c r="G21" s="103">
        <v>1306707126</v>
      </c>
      <c r="H21" s="102"/>
      <c r="I21" s="103">
        <f t="shared" si="0"/>
        <v>-132839522</v>
      </c>
      <c r="J21" s="102"/>
      <c r="K21" s="103">
        <v>1366065</v>
      </c>
      <c r="L21" s="102"/>
      <c r="M21" s="103">
        <v>1173867604</v>
      </c>
      <c r="N21" s="102"/>
      <c r="O21" s="103">
        <v>1306707126</v>
      </c>
      <c r="P21" s="102"/>
      <c r="Q21" s="103">
        <f t="shared" si="1"/>
        <v>-132839522</v>
      </c>
      <c r="R21" s="66"/>
      <c r="S21" s="67"/>
    </row>
    <row r="22" spans="1:19" ht="21.75" customHeight="1">
      <c r="A22" s="55" t="s">
        <v>161</v>
      </c>
      <c r="B22" s="54"/>
      <c r="C22" s="103">
        <v>200000</v>
      </c>
      <c r="D22" s="102"/>
      <c r="E22" s="103">
        <v>1581678380</v>
      </c>
      <c r="F22" s="102"/>
      <c r="G22" s="103">
        <v>1343569754</v>
      </c>
      <c r="H22" s="102"/>
      <c r="I22" s="103">
        <f t="shared" si="0"/>
        <v>238108626</v>
      </c>
      <c r="J22" s="102"/>
      <c r="K22" s="103">
        <v>200000</v>
      </c>
      <c r="L22" s="102"/>
      <c r="M22" s="103">
        <v>1581678380</v>
      </c>
      <c r="N22" s="102"/>
      <c r="O22" s="103">
        <v>1343569754</v>
      </c>
      <c r="P22" s="102"/>
      <c r="Q22" s="103">
        <f t="shared" si="1"/>
        <v>238108626</v>
      </c>
      <c r="R22" s="66"/>
      <c r="S22" s="67"/>
    </row>
    <row r="23" spans="1:19" ht="21.75" customHeight="1">
      <c r="A23" s="55" t="s">
        <v>159</v>
      </c>
      <c r="B23" s="54"/>
      <c r="C23" s="103">
        <v>2000000</v>
      </c>
      <c r="D23" s="102"/>
      <c r="E23" s="103">
        <v>29827636200</v>
      </c>
      <c r="F23" s="102"/>
      <c r="G23" s="103">
        <v>32011705588</v>
      </c>
      <c r="H23" s="102"/>
      <c r="I23" s="103">
        <f t="shared" si="0"/>
        <v>-2184069388</v>
      </c>
      <c r="J23" s="102"/>
      <c r="K23" s="103">
        <v>2000000</v>
      </c>
      <c r="L23" s="102"/>
      <c r="M23" s="103">
        <v>29827636200</v>
      </c>
      <c r="N23" s="102"/>
      <c r="O23" s="103">
        <v>32011705588</v>
      </c>
      <c r="P23" s="102"/>
      <c r="Q23" s="103">
        <f t="shared" si="1"/>
        <v>-2184069388</v>
      </c>
      <c r="R23" s="66"/>
      <c r="S23" s="67"/>
    </row>
    <row r="24" spans="1:19" ht="21.75" customHeight="1">
      <c r="A24" s="55" t="s">
        <v>158</v>
      </c>
      <c r="B24" s="54"/>
      <c r="C24" s="103">
        <v>6000000</v>
      </c>
      <c r="D24" s="102"/>
      <c r="E24" s="103">
        <v>32090011800</v>
      </c>
      <c r="F24" s="102"/>
      <c r="G24" s="103">
        <v>33746933730</v>
      </c>
      <c r="H24" s="102"/>
      <c r="I24" s="103">
        <f t="shared" si="0"/>
        <v>-1656921930</v>
      </c>
      <c r="J24" s="102"/>
      <c r="K24" s="103">
        <v>6000000</v>
      </c>
      <c r="L24" s="102"/>
      <c r="M24" s="103">
        <v>32090011800</v>
      </c>
      <c r="N24" s="102"/>
      <c r="O24" s="103">
        <v>33746933730</v>
      </c>
      <c r="P24" s="102"/>
      <c r="Q24" s="103">
        <f t="shared" si="1"/>
        <v>-1656921930</v>
      </c>
      <c r="R24" s="66"/>
      <c r="S24" s="67"/>
    </row>
    <row r="25" spans="1:19" ht="21.75" customHeight="1">
      <c r="A25" s="55" t="s">
        <v>155</v>
      </c>
      <c r="B25" s="54"/>
      <c r="C25" s="103">
        <v>2700000</v>
      </c>
      <c r="D25" s="102"/>
      <c r="E25" s="103">
        <v>45598775580</v>
      </c>
      <c r="F25" s="102"/>
      <c r="G25" s="103">
        <v>45854920502</v>
      </c>
      <c r="H25" s="102"/>
      <c r="I25" s="103">
        <f t="shared" si="0"/>
        <v>-256144922</v>
      </c>
      <c r="J25" s="102"/>
      <c r="K25" s="103">
        <v>2700000</v>
      </c>
      <c r="L25" s="102"/>
      <c r="M25" s="103">
        <v>45598775580</v>
      </c>
      <c r="N25" s="102"/>
      <c r="O25" s="103">
        <v>45854920502</v>
      </c>
      <c r="P25" s="102"/>
      <c r="Q25" s="103">
        <f t="shared" si="1"/>
        <v>-256144922</v>
      </c>
      <c r="R25" s="66"/>
      <c r="S25" s="67"/>
    </row>
    <row r="26" spans="1:19" ht="21.75" customHeight="1">
      <c r="A26" s="55" t="s">
        <v>162</v>
      </c>
      <c r="B26" s="54"/>
      <c r="C26" s="103">
        <v>4000000</v>
      </c>
      <c r="D26" s="102"/>
      <c r="E26" s="103">
        <v>47748032400</v>
      </c>
      <c r="F26" s="102"/>
      <c r="G26" s="103">
        <v>39584384851</v>
      </c>
      <c r="H26" s="102"/>
      <c r="I26" s="103">
        <f t="shared" si="0"/>
        <v>8163647549</v>
      </c>
      <c r="J26" s="102"/>
      <c r="K26" s="103">
        <v>4000000</v>
      </c>
      <c r="L26" s="102"/>
      <c r="M26" s="103">
        <v>47748032400</v>
      </c>
      <c r="N26" s="102"/>
      <c r="O26" s="103">
        <v>39584384851</v>
      </c>
      <c r="P26" s="102"/>
      <c r="Q26" s="103">
        <f t="shared" si="1"/>
        <v>8163647549</v>
      </c>
      <c r="R26" s="66"/>
      <c r="S26" s="67"/>
    </row>
    <row r="27" spans="1:19" ht="21.75" customHeight="1">
      <c r="A27" s="55" t="s">
        <v>143</v>
      </c>
      <c r="B27" s="54"/>
      <c r="C27" s="103">
        <v>700000</v>
      </c>
      <c r="D27" s="102"/>
      <c r="E27" s="103">
        <v>22539413050</v>
      </c>
      <c r="F27" s="102"/>
      <c r="G27" s="103">
        <v>12913798688</v>
      </c>
      <c r="H27" s="102"/>
      <c r="I27" s="103">
        <f t="shared" si="0"/>
        <v>9625614362</v>
      </c>
      <c r="J27" s="102"/>
      <c r="K27" s="103">
        <v>700000</v>
      </c>
      <c r="L27" s="102"/>
      <c r="M27" s="103">
        <v>22539413050</v>
      </c>
      <c r="N27" s="102"/>
      <c r="O27" s="103">
        <v>12913798688</v>
      </c>
      <c r="P27" s="102"/>
      <c r="Q27" s="103">
        <f t="shared" si="1"/>
        <v>9625614362</v>
      </c>
      <c r="R27" s="66"/>
      <c r="S27" s="67"/>
    </row>
    <row r="28" spans="1:19" ht="21.75" customHeight="1">
      <c r="A28" s="55" t="s">
        <v>131</v>
      </c>
      <c r="B28" s="54"/>
      <c r="C28" s="103">
        <v>40220689</v>
      </c>
      <c r="D28" s="102"/>
      <c r="E28" s="103">
        <v>302915253531</v>
      </c>
      <c r="F28" s="102"/>
      <c r="G28" s="103">
        <v>158430894454</v>
      </c>
      <c r="H28" s="102"/>
      <c r="I28" s="103">
        <f t="shared" si="0"/>
        <v>144484359077</v>
      </c>
      <c r="J28" s="102"/>
      <c r="K28" s="103">
        <v>40220689</v>
      </c>
      <c r="L28" s="102"/>
      <c r="M28" s="103">
        <v>302915253531</v>
      </c>
      <c r="N28" s="102"/>
      <c r="O28" s="103">
        <v>158430894454</v>
      </c>
      <c r="P28" s="102"/>
      <c r="Q28" s="103">
        <f t="shared" si="1"/>
        <v>144484359077</v>
      </c>
      <c r="R28" s="66"/>
      <c r="S28" s="67"/>
    </row>
    <row r="29" spans="1:19" ht="21.75" customHeight="1">
      <c r="A29" s="55" t="s">
        <v>146</v>
      </c>
      <c r="B29" s="54"/>
      <c r="C29" s="103">
        <v>8093726</v>
      </c>
      <c r="D29" s="102"/>
      <c r="E29" s="103">
        <v>30807535506</v>
      </c>
      <c r="F29" s="102"/>
      <c r="G29" s="103">
        <v>14956988247</v>
      </c>
      <c r="H29" s="102"/>
      <c r="I29" s="103">
        <f t="shared" si="0"/>
        <v>15850547259</v>
      </c>
      <c r="J29" s="102"/>
      <c r="K29" s="103">
        <v>8093726</v>
      </c>
      <c r="L29" s="102"/>
      <c r="M29" s="103">
        <v>30807535506</v>
      </c>
      <c r="N29" s="102"/>
      <c r="O29" s="103">
        <v>14956988247</v>
      </c>
      <c r="P29" s="102"/>
      <c r="Q29" s="103">
        <f t="shared" si="1"/>
        <v>15850547259</v>
      </c>
      <c r="R29" s="66"/>
      <c r="S29" s="67"/>
    </row>
    <row r="30" spans="1:19" ht="21.75" customHeight="1">
      <c r="A30" s="55" t="s">
        <v>21</v>
      </c>
      <c r="B30" s="54"/>
      <c r="C30" s="103">
        <v>118807770</v>
      </c>
      <c r="D30" s="102"/>
      <c r="E30" s="103">
        <v>252990622222</v>
      </c>
      <c r="F30" s="102"/>
      <c r="G30" s="103">
        <v>146064949177</v>
      </c>
      <c r="H30" s="102"/>
      <c r="I30" s="103">
        <f t="shared" si="0"/>
        <v>106925673045</v>
      </c>
      <c r="J30" s="102"/>
      <c r="K30" s="103">
        <v>118807770</v>
      </c>
      <c r="L30" s="102"/>
      <c r="M30" s="103">
        <v>252990622222</v>
      </c>
      <c r="N30" s="102"/>
      <c r="O30" s="103">
        <v>146064949177</v>
      </c>
      <c r="P30" s="102"/>
      <c r="Q30" s="103">
        <f t="shared" si="1"/>
        <v>106925673045</v>
      </c>
      <c r="R30" s="66"/>
      <c r="S30" s="67"/>
    </row>
    <row r="31" spans="1:19" ht="21.75" customHeight="1">
      <c r="A31" s="55" t="s">
        <v>16</v>
      </c>
      <c r="B31" s="54"/>
      <c r="C31" s="103">
        <v>1000</v>
      </c>
      <c r="D31" s="102"/>
      <c r="E31" s="103">
        <v>130880413</v>
      </c>
      <c r="F31" s="102"/>
      <c r="G31" s="103">
        <v>104982166</v>
      </c>
      <c r="H31" s="102"/>
      <c r="I31" s="103">
        <f t="shared" si="0"/>
        <v>25898247</v>
      </c>
      <c r="J31" s="102"/>
      <c r="K31" s="103">
        <v>1000</v>
      </c>
      <c r="L31" s="102"/>
      <c r="M31" s="103">
        <v>130880413</v>
      </c>
      <c r="N31" s="102"/>
      <c r="O31" s="103">
        <v>104982166</v>
      </c>
      <c r="P31" s="102"/>
      <c r="Q31" s="103">
        <f t="shared" si="1"/>
        <v>25898247</v>
      </c>
      <c r="R31" s="66"/>
      <c r="S31" s="67"/>
    </row>
    <row r="32" spans="1:19" ht="21.75" customHeight="1">
      <c r="A32" s="55" t="s">
        <v>17</v>
      </c>
      <c r="B32" s="54"/>
      <c r="C32" s="103">
        <v>12800000</v>
      </c>
      <c r="D32" s="102"/>
      <c r="E32" s="103">
        <v>29707769984</v>
      </c>
      <c r="F32" s="102"/>
      <c r="G32" s="103">
        <v>33342324508</v>
      </c>
      <c r="H32" s="102"/>
      <c r="I32" s="103">
        <f t="shared" si="0"/>
        <v>-3634554524</v>
      </c>
      <c r="J32" s="102"/>
      <c r="K32" s="103">
        <v>12800000</v>
      </c>
      <c r="L32" s="102"/>
      <c r="M32" s="103">
        <v>29707769984</v>
      </c>
      <c r="N32" s="102"/>
      <c r="O32" s="103">
        <v>33342324508</v>
      </c>
      <c r="P32" s="102"/>
      <c r="Q32" s="103">
        <f t="shared" si="1"/>
        <v>-3634554524</v>
      </c>
      <c r="R32" s="66"/>
      <c r="S32" s="67"/>
    </row>
    <row r="33" spans="1:19" ht="21.75" customHeight="1">
      <c r="A33" s="55" t="s">
        <v>157</v>
      </c>
      <c r="B33" s="54"/>
      <c r="C33" s="103">
        <v>100000</v>
      </c>
      <c r="D33" s="102"/>
      <c r="E33" s="103">
        <v>1620376910</v>
      </c>
      <c r="F33" s="102"/>
      <c r="G33" s="103">
        <v>1546107879</v>
      </c>
      <c r="H33" s="102"/>
      <c r="I33" s="103">
        <f t="shared" si="0"/>
        <v>74269031</v>
      </c>
      <c r="J33" s="102"/>
      <c r="K33" s="103">
        <v>100000</v>
      </c>
      <c r="L33" s="102"/>
      <c r="M33" s="103">
        <v>1620376910</v>
      </c>
      <c r="N33" s="102"/>
      <c r="O33" s="103">
        <v>1546107879</v>
      </c>
      <c r="P33" s="102"/>
      <c r="Q33" s="103">
        <f t="shared" si="1"/>
        <v>74269031</v>
      </c>
      <c r="R33" s="66"/>
      <c r="S33" s="67"/>
    </row>
    <row r="34" spans="1:19" ht="21.75" customHeight="1">
      <c r="A34" s="55" t="s">
        <v>132</v>
      </c>
      <c r="B34" s="54"/>
      <c r="C34" s="103">
        <v>13387027</v>
      </c>
      <c r="D34" s="102"/>
      <c r="E34" s="103">
        <v>40807051104</v>
      </c>
      <c r="F34" s="102"/>
      <c r="G34" s="103">
        <v>37898588041</v>
      </c>
      <c r="H34" s="102"/>
      <c r="I34" s="103">
        <f t="shared" si="0"/>
        <v>2908463063</v>
      </c>
      <c r="J34" s="102"/>
      <c r="K34" s="103">
        <v>13387027</v>
      </c>
      <c r="L34" s="102"/>
      <c r="M34" s="103">
        <v>40807051104</v>
      </c>
      <c r="N34" s="102"/>
      <c r="O34" s="103">
        <v>37898588041</v>
      </c>
      <c r="P34" s="102"/>
      <c r="Q34" s="103">
        <f t="shared" si="1"/>
        <v>2908463063</v>
      </c>
      <c r="R34" s="66"/>
      <c r="S34" s="67"/>
    </row>
    <row r="35" spans="1:19" ht="21.75" customHeight="1">
      <c r="A35" s="55" t="s">
        <v>22</v>
      </c>
      <c r="B35" s="54"/>
      <c r="C35" s="103">
        <v>3700</v>
      </c>
      <c r="D35" s="102"/>
      <c r="E35" s="103">
        <v>77584323063</v>
      </c>
      <c r="F35" s="102"/>
      <c r="G35" s="103">
        <v>94492827027</v>
      </c>
      <c r="H35" s="102"/>
      <c r="I35" s="103">
        <f t="shared" si="0"/>
        <v>-16908503964</v>
      </c>
      <c r="J35" s="102"/>
      <c r="K35" s="103">
        <v>3700</v>
      </c>
      <c r="L35" s="102"/>
      <c r="M35" s="103">
        <v>77584323063</v>
      </c>
      <c r="N35" s="102"/>
      <c r="O35" s="103">
        <v>94492827027</v>
      </c>
      <c r="P35" s="102"/>
      <c r="Q35" s="103">
        <f t="shared" si="1"/>
        <v>-16908503964</v>
      </c>
      <c r="R35" s="66"/>
      <c r="S35" s="67"/>
    </row>
    <row r="36" spans="1:19" ht="21.75" customHeight="1">
      <c r="A36" s="55" t="s">
        <v>163</v>
      </c>
      <c r="B36" s="54"/>
      <c r="C36" s="103">
        <v>219000</v>
      </c>
      <c r="D36" s="102"/>
      <c r="E36" s="103">
        <v>6323637483</v>
      </c>
      <c r="F36" s="102"/>
      <c r="G36" s="103">
        <v>5296246349</v>
      </c>
      <c r="H36" s="102"/>
      <c r="I36" s="103">
        <f t="shared" si="0"/>
        <v>1027391134</v>
      </c>
      <c r="J36" s="102"/>
      <c r="K36" s="103">
        <v>219000</v>
      </c>
      <c r="L36" s="102"/>
      <c r="M36" s="103">
        <v>6323637483</v>
      </c>
      <c r="N36" s="102"/>
      <c r="O36" s="103">
        <v>5296246349</v>
      </c>
      <c r="P36" s="102"/>
      <c r="Q36" s="103">
        <f t="shared" si="1"/>
        <v>1027391134</v>
      </c>
      <c r="R36" s="66"/>
      <c r="S36" s="67"/>
    </row>
    <row r="37" spans="1:19" ht="21.75" customHeight="1">
      <c r="A37" s="55" t="s">
        <v>75</v>
      </c>
      <c r="B37" s="54"/>
      <c r="C37" s="103">
        <v>145000</v>
      </c>
      <c r="D37" s="102"/>
      <c r="E37" s="103">
        <v>144921156250</v>
      </c>
      <c r="F37" s="102"/>
      <c r="G37" s="103">
        <v>145071343750</v>
      </c>
      <c r="H37" s="102"/>
      <c r="I37" s="103">
        <f t="shared" si="0"/>
        <v>-150187500</v>
      </c>
      <c r="J37" s="102"/>
      <c r="K37" s="103">
        <v>145000</v>
      </c>
      <c r="L37" s="102"/>
      <c r="M37" s="103">
        <v>144921156250</v>
      </c>
      <c r="N37" s="102"/>
      <c r="O37" s="103">
        <v>145071343750</v>
      </c>
      <c r="P37" s="102"/>
      <c r="Q37" s="103">
        <f t="shared" si="1"/>
        <v>-150187500</v>
      </c>
      <c r="R37" s="66"/>
      <c r="S37" s="67"/>
    </row>
    <row r="38" spans="1:19" ht="21.75" customHeight="1">
      <c r="A38" s="55" t="s">
        <v>76</v>
      </c>
      <c r="B38" s="54"/>
      <c r="C38" s="103">
        <v>150600</v>
      </c>
      <c r="D38" s="102"/>
      <c r="E38" s="103">
        <v>150518111250</v>
      </c>
      <c r="F38" s="102"/>
      <c r="G38" s="103">
        <v>150677702889</v>
      </c>
      <c r="H38" s="102"/>
      <c r="I38" s="103">
        <f t="shared" si="0"/>
        <v>-159591639</v>
      </c>
      <c r="J38" s="102"/>
      <c r="K38" s="103">
        <v>150600</v>
      </c>
      <c r="L38" s="102"/>
      <c r="M38" s="103">
        <v>150518111250</v>
      </c>
      <c r="N38" s="102"/>
      <c r="O38" s="103">
        <v>150677702889</v>
      </c>
      <c r="P38" s="102"/>
      <c r="Q38" s="103">
        <f t="shared" si="1"/>
        <v>-159591639</v>
      </c>
      <c r="R38" s="66"/>
      <c r="S38" s="67"/>
    </row>
    <row r="39" spans="1:19" ht="21.75" customHeight="1" thickBot="1">
      <c r="A39" s="68"/>
      <c r="B39" s="54"/>
      <c r="C39" s="103"/>
      <c r="D39" s="102"/>
      <c r="E39" s="104">
        <f>SUM(E8:E38)</f>
        <v>2468955753166</v>
      </c>
      <c r="F39" s="102"/>
      <c r="G39" s="104">
        <f>SUM(G8:G38)</f>
        <v>1868487540907</v>
      </c>
      <c r="H39" s="102"/>
      <c r="I39" s="104">
        <f>SUM(I8:I38)</f>
        <v>600468212259</v>
      </c>
      <c r="J39" s="102"/>
      <c r="K39" s="103"/>
      <c r="L39" s="102"/>
      <c r="M39" s="104">
        <f>SUM(M8:M38)</f>
        <v>2468955753166</v>
      </c>
      <c r="N39" s="102"/>
      <c r="O39" s="104">
        <f>SUM(O8:O38)</f>
        <v>1868487540907</v>
      </c>
      <c r="P39" s="102"/>
      <c r="Q39" s="104">
        <f>SUM(Q8:Q38)</f>
        <v>600468212259</v>
      </c>
      <c r="R39" s="66"/>
    </row>
    <row r="40" spans="1:19" ht="13.5" thickTop="1">
      <c r="I40" s="67"/>
      <c r="R40" s="66"/>
    </row>
    <row r="41" spans="1:19" ht="18.75">
      <c r="I41" s="61"/>
      <c r="Q41" s="66"/>
      <c r="R41" s="66"/>
    </row>
    <row r="42" spans="1:19">
      <c r="I42" s="66"/>
      <c r="Q42" s="66"/>
      <c r="R42" s="67"/>
    </row>
    <row r="43" spans="1:19">
      <c r="I43" s="6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63"/>
  <sheetViews>
    <sheetView rightToLeft="1" view="pageBreakPreview" zoomScaleNormal="100" zoomScaleSheetLayoutView="100" workbookViewId="0">
      <selection activeCell="S13" sqref="S13"/>
    </sheetView>
  </sheetViews>
  <sheetFormatPr defaultRowHeight="12.75"/>
  <cols>
    <col min="1" max="1" width="80.28515625" style="9" customWidth="1"/>
    <col min="2" max="2" width="1.28515625" style="9" customWidth="1"/>
    <col min="3" max="3" width="14.42578125" style="9" bestFit="1" customWidth="1"/>
    <col min="4" max="4" width="1.28515625" style="9" customWidth="1"/>
    <col min="5" max="5" width="18.7109375" style="9" bestFit="1" customWidth="1"/>
    <col min="6" max="6" width="1.28515625" style="9" customWidth="1"/>
    <col min="7" max="7" width="18.7109375" style="9" bestFit="1" customWidth="1"/>
    <col min="8" max="8" width="1.28515625" style="9" customWidth="1"/>
    <col min="9" max="9" width="13" style="9" bestFit="1" customWidth="1"/>
    <col min="10" max="10" width="1.28515625" style="9" customWidth="1"/>
    <col min="11" max="11" width="17" style="9" bestFit="1" customWidth="1"/>
    <col min="12" max="12" width="1.28515625" style="9" customWidth="1"/>
    <col min="13" max="13" width="13.7109375" style="9" bestFit="1" customWidth="1"/>
    <col min="14" max="14" width="1.28515625" style="9" customWidth="1"/>
    <col min="15" max="15" width="16.85546875" style="9" bestFit="1" customWidth="1"/>
    <col min="16" max="16" width="1.28515625" style="9" customWidth="1"/>
    <col min="17" max="17" width="14.5703125" style="9" bestFit="1" customWidth="1"/>
    <col min="18" max="18" width="1.28515625" style="9" customWidth="1"/>
    <col min="19" max="19" width="16.42578125" style="9" bestFit="1" customWidth="1"/>
    <col min="20" max="20" width="1.28515625" style="9" customWidth="1"/>
    <col min="21" max="21" width="18.7109375" style="9" bestFit="1" customWidth="1"/>
    <col min="22" max="22" width="1.28515625" style="9" customWidth="1"/>
    <col min="23" max="23" width="19.7109375" style="9" bestFit="1" customWidth="1"/>
    <col min="24" max="24" width="1.28515625" style="9" customWidth="1"/>
    <col min="25" max="25" width="18.28515625" style="9" bestFit="1" customWidth="1"/>
    <col min="26" max="26" width="17.42578125" style="9" bestFit="1" customWidth="1"/>
    <col min="27" max="27" width="18" style="9" bestFit="1" customWidth="1"/>
    <col min="28" max="28" width="13.42578125" style="107" bestFit="1" customWidth="1"/>
    <col min="29" max="16384" width="9.140625" style="9"/>
  </cols>
  <sheetData>
    <row r="1" spans="1:27" ht="29.1" customHeight="1">
      <c r="A1" s="119" t="s">
        <v>120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</row>
    <row r="2" spans="1:27" ht="21.75" customHeight="1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</row>
    <row r="3" spans="1:27" ht="21.75" customHeight="1">
      <c r="A3" s="120" t="str">
        <f>'0'!A18:I18</f>
        <v>‫برای ماه منتهی به 31 خرداد  ماه 1405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</row>
    <row r="4" spans="1:27" ht="14.45" customHeight="1">
      <c r="A4" s="118" t="s">
        <v>108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</row>
    <row r="5" spans="1:27" ht="14.45" customHeight="1">
      <c r="A5" s="118" t="s">
        <v>109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</row>
    <row r="6" spans="1:27" ht="14.45" customHeight="1">
      <c r="C6" s="121" t="s">
        <v>152</v>
      </c>
      <c r="D6" s="121"/>
      <c r="E6" s="121"/>
      <c r="F6" s="121"/>
      <c r="G6" s="121"/>
      <c r="I6" s="121" t="s">
        <v>1</v>
      </c>
      <c r="J6" s="121"/>
      <c r="K6" s="121"/>
      <c r="L6" s="121"/>
      <c r="M6" s="121"/>
      <c r="N6" s="121"/>
      <c r="O6" s="121"/>
      <c r="Q6" s="121" t="s">
        <v>165</v>
      </c>
      <c r="R6" s="121"/>
      <c r="S6" s="121"/>
      <c r="T6" s="121"/>
      <c r="U6" s="121"/>
      <c r="V6" s="121"/>
      <c r="W6" s="121"/>
      <c r="X6" s="121"/>
      <c r="Y6" s="121"/>
    </row>
    <row r="7" spans="1:27" ht="14.45" customHeight="1">
      <c r="C7" s="10"/>
      <c r="D7" s="10"/>
      <c r="E7" s="10"/>
      <c r="F7" s="10"/>
      <c r="G7" s="10"/>
      <c r="I7" s="122" t="s">
        <v>2</v>
      </c>
      <c r="J7" s="122"/>
      <c r="K7" s="122"/>
      <c r="L7" s="10"/>
      <c r="M7" s="122" t="s">
        <v>3</v>
      </c>
      <c r="N7" s="122"/>
      <c r="O7" s="122"/>
      <c r="Q7" s="10"/>
      <c r="R7" s="10"/>
      <c r="S7" s="10"/>
      <c r="T7" s="10"/>
      <c r="U7" s="10"/>
      <c r="V7" s="10"/>
      <c r="W7" s="10"/>
      <c r="X7" s="10"/>
      <c r="Y7" s="10"/>
    </row>
    <row r="8" spans="1:27" ht="14.45" customHeight="1">
      <c r="A8" s="14" t="s">
        <v>4</v>
      </c>
      <c r="C8" s="17" t="s">
        <v>5</v>
      </c>
      <c r="E8" s="2" t="s">
        <v>6</v>
      </c>
      <c r="G8" s="2" t="s">
        <v>7</v>
      </c>
      <c r="I8" s="4" t="s">
        <v>5</v>
      </c>
      <c r="J8" s="10"/>
      <c r="K8" s="4" t="s">
        <v>6</v>
      </c>
      <c r="M8" s="4" t="s">
        <v>5</v>
      </c>
      <c r="N8" s="10"/>
      <c r="O8" s="4" t="s">
        <v>8</v>
      </c>
      <c r="Q8" s="2" t="s">
        <v>5</v>
      </c>
      <c r="S8" s="2" t="s">
        <v>9</v>
      </c>
      <c r="U8" s="2" t="s">
        <v>6</v>
      </c>
      <c r="W8" s="2" t="s">
        <v>7</v>
      </c>
      <c r="Y8" s="2" t="s">
        <v>10</v>
      </c>
      <c r="AA8" s="77"/>
    </row>
    <row r="9" spans="1:27" ht="21.75" customHeight="1">
      <c r="A9" s="13" t="s">
        <v>11</v>
      </c>
      <c r="B9" s="13"/>
      <c r="C9" s="86">
        <v>450899961</v>
      </c>
      <c r="D9" s="87"/>
      <c r="E9" s="86">
        <v>225203081273</v>
      </c>
      <c r="F9" s="87"/>
      <c r="G9" s="86">
        <v>220575350620</v>
      </c>
      <c r="H9" s="87"/>
      <c r="I9" s="86">
        <v>0</v>
      </c>
      <c r="J9" s="87"/>
      <c r="K9" s="86">
        <v>0</v>
      </c>
      <c r="L9" s="87"/>
      <c r="M9" s="86">
        <v>-42742290</v>
      </c>
      <c r="N9" s="87"/>
      <c r="O9" s="86">
        <v>22135379116</v>
      </c>
      <c r="P9" s="87"/>
      <c r="Q9" s="86">
        <v>408157671</v>
      </c>
      <c r="R9" s="87"/>
      <c r="S9" s="86">
        <v>582</v>
      </c>
      <c r="T9" s="87"/>
      <c r="U9" s="86">
        <v>203855340669</v>
      </c>
      <c r="V9" s="87"/>
      <c r="W9" s="86">
        <v>235711520302</v>
      </c>
      <c r="X9" s="82"/>
      <c r="Y9" s="83">
        <f>W9/2567658967995*100</f>
        <v>9.1800166314944605</v>
      </c>
      <c r="Z9" s="22"/>
      <c r="AA9" s="22"/>
    </row>
    <row r="10" spans="1:27" ht="21.75" customHeight="1">
      <c r="A10" s="13" t="s">
        <v>12</v>
      </c>
      <c r="B10" s="13"/>
      <c r="C10" s="86">
        <v>318917361</v>
      </c>
      <c r="D10" s="87"/>
      <c r="E10" s="86">
        <v>131333214665</v>
      </c>
      <c r="F10" s="87"/>
      <c r="G10" s="86">
        <v>110125341170</v>
      </c>
      <c r="H10" s="87"/>
      <c r="I10" s="86">
        <v>0</v>
      </c>
      <c r="J10" s="87"/>
      <c r="K10" s="86">
        <v>0</v>
      </c>
      <c r="L10" s="87"/>
      <c r="M10" s="86">
        <v>-193959516</v>
      </c>
      <c r="N10" s="87"/>
      <c r="O10" s="86">
        <v>125083356179</v>
      </c>
      <c r="P10" s="87"/>
      <c r="Q10" s="86">
        <v>124957845</v>
      </c>
      <c r="R10" s="87"/>
      <c r="S10" s="86">
        <v>648</v>
      </c>
      <c r="T10" s="87"/>
      <c r="U10" s="86">
        <v>51458833819</v>
      </c>
      <c r="V10" s="87"/>
      <c r="W10" s="86">
        <v>80346764716</v>
      </c>
      <c r="X10" s="82"/>
      <c r="Y10" s="83">
        <f t="shared" ref="Y10:Y46" si="0">W10/2567658967995*100</f>
        <v>3.1291836539624316</v>
      </c>
      <c r="Z10" s="22"/>
      <c r="AA10" s="22"/>
    </row>
    <row r="11" spans="1:27" ht="21.75" customHeight="1">
      <c r="A11" s="13" t="s">
        <v>13</v>
      </c>
      <c r="B11" s="13"/>
      <c r="C11" s="86">
        <v>10857025</v>
      </c>
      <c r="D11" s="87"/>
      <c r="E11" s="86">
        <v>6448885302</v>
      </c>
      <c r="F11" s="87"/>
      <c r="G11" s="86">
        <v>4826348888</v>
      </c>
      <c r="H11" s="87"/>
      <c r="I11" s="86">
        <v>0</v>
      </c>
      <c r="J11" s="87"/>
      <c r="K11" s="86">
        <v>0</v>
      </c>
      <c r="L11" s="87"/>
      <c r="M11" s="86">
        <v>0</v>
      </c>
      <c r="N11" s="87"/>
      <c r="O11" s="86">
        <v>0</v>
      </c>
      <c r="P11" s="87"/>
      <c r="Q11" s="86">
        <v>10857025</v>
      </c>
      <c r="R11" s="87"/>
      <c r="S11" s="86">
        <v>710</v>
      </c>
      <c r="T11" s="87"/>
      <c r="U11" s="86">
        <v>6448885302</v>
      </c>
      <c r="V11" s="87"/>
      <c r="W11" s="86">
        <v>7648901139</v>
      </c>
      <c r="X11" s="82"/>
      <c r="Y11" s="83">
        <f t="shared" si="0"/>
        <v>0.297893966229198</v>
      </c>
      <c r="Z11" s="22"/>
      <c r="AA11" s="22"/>
    </row>
    <row r="12" spans="1:27" ht="21.75" customHeight="1">
      <c r="A12" s="13" t="s">
        <v>14</v>
      </c>
      <c r="B12" s="13"/>
      <c r="C12" s="86">
        <v>204078495</v>
      </c>
      <c r="D12" s="87"/>
      <c r="E12" s="86">
        <v>172158718053</v>
      </c>
      <c r="F12" s="87"/>
      <c r="G12" s="86">
        <v>189338405298</v>
      </c>
      <c r="H12" s="87"/>
      <c r="I12" s="86">
        <v>0</v>
      </c>
      <c r="J12" s="87"/>
      <c r="K12" s="86">
        <v>0</v>
      </c>
      <c r="L12" s="87"/>
      <c r="M12" s="86">
        <v>-21616303</v>
      </c>
      <c r="N12" s="87"/>
      <c r="O12" s="86">
        <v>24723643221</v>
      </c>
      <c r="P12" s="87"/>
      <c r="Q12" s="86">
        <v>182462192</v>
      </c>
      <c r="R12" s="87"/>
      <c r="S12" s="86">
        <v>1330</v>
      </c>
      <c r="T12" s="87"/>
      <c r="U12" s="86">
        <v>153923406124</v>
      </c>
      <c r="V12" s="87"/>
      <c r="W12" s="86">
        <v>240798839810</v>
      </c>
      <c r="X12" s="82"/>
      <c r="Y12" s="83">
        <f t="shared" si="0"/>
        <v>9.378147285580992</v>
      </c>
      <c r="Z12" s="22"/>
      <c r="AA12" s="22"/>
    </row>
    <row r="13" spans="1:27" ht="21.75" customHeight="1">
      <c r="A13" s="13" t="s">
        <v>131</v>
      </c>
      <c r="B13" s="13"/>
      <c r="C13" s="86">
        <v>19000000</v>
      </c>
      <c r="D13" s="87"/>
      <c r="E13" s="86">
        <v>180257606048</v>
      </c>
      <c r="F13" s="87"/>
      <c r="G13" s="86">
        <v>160006514310</v>
      </c>
      <c r="H13" s="87"/>
      <c r="I13" s="86">
        <v>21620690</v>
      </c>
      <c r="J13" s="87"/>
      <c r="K13" s="86">
        <v>0</v>
      </c>
      <c r="L13" s="87"/>
      <c r="M13" s="86">
        <v>-400001</v>
      </c>
      <c r="N13" s="87"/>
      <c r="O13" s="86">
        <v>3167325849</v>
      </c>
      <c r="P13" s="87"/>
      <c r="Q13" s="86">
        <v>40220689</v>
      </c>
      <c r="R13" s="87"/>
      <c r="S13" s="86">
        <v>7590</v>
      </c>
      <c r="T13" s="87"/>
      <c r="U13" s="86">
        <v>178482569171</v>
      </c>
      <c r="V13" s="87"/>
      <c r="W13" s="86">
        <v>302915253531</v>
      </c>
      <c r="X13" s="82"/>
      <c r="Y13" s="83">
        <f t="shared" si="0"/>
        <v>11.797332017481143</v>
      </c>
      <c r="Z13" s="22"/>
      <c r="AA13" s="22"/>
    </row>
    <row r="14" spans="1:27" ht="21.75" customHeight="1">
      <c r="A14" s="13" t="s">
        <v>15</v>
      </c>
      <c r="B14" s="13"/>
      <c r="C14" s="86">
        <v>24087404</v>
      </c>
      <c r="D14" s="87"/>
      <c r="E14" s="86">
        <v>120976950112</v>
      </c>
      <c r="F14" s="87"/>
      <c r="G14" s="86">
        <v>111212322532.02299</v>
      </c>
      <c r="H14" s="87"/>
      <c r="I14" s="86">
        <v>1000000</v>
      </c>
      <c r="J14" s="87"/>
      <c r="K14" s="86">
        <v>6930413529</v>
      </c>
      <c r="L14" s="87"/>
      <c r="M14" s="86">
        <v>-5087404</v>
      </c>
      <c r="N14" s="87"/>
      <c r="O14" s="86">
        <v>46240398030</v>
      </c>
      <c r="P14" s="87"/>
      <c r="Q14" s="86">
        <v>20000000</v>
      </c>
      <c r="R14" s="87"/>
      <c r="S14" s="86">
        <v>9120</v>
      </c>
      <c r="T14" s="87"/>
      <c r="U14" s="86">
        <v>101969389611</v>
      </c>
      <c r="V14" s="87"/>
      <c r="W14" s="86">
        <v>180990048000</v>
      </c>
      <c r="X14" s="82"/>
      <c r="Y14" s="83">
        <f t="shared" si="0"/>
        <v>7.0488351551346851</v>
      </c>
      <c r="Z14" s="22"/>
      <c r="AA14" s="22"/>
    </row>
    <row r="15" spans="1:27" ht="21.75" customHeight="1">
      <c r="A15" s="13" t="s">
        <v>147</v>
      </c>
      <c r="B15" s="13"/>
      <c r="C15" s="86">
        <v>1946439</v>
      </c>
      <c r="D15" s="87"/>
      <c r="E15" s="86">
        <v>29794646776</v>
      </c>
      <c r="F15" s="87"/>
      <c r="G15" s="86">
        <v>17656795048</v>
      </c>
      <c r="H15" s="87"/>
      <c r="I15" s="86">
        <v>0</v>
      </c>
      <c r="J15" s="87"/>
      <c r="K15" s="86">
        <v>0</v>
      </c>
      <c r="L15" s="87"/>
      <c r="M15" s="86">
        <v>-1946439</v>
      </c>
      <c r="N15" s="87"/>
      <c r="O15" s="86">
        <v>25629585612</v>
      </c>
      <c r="P15" s="87"/>
      <c r="Q15" s="86">
        <v>0</v>
      </c>
      <c r="R15" s="87"/>
      <c r="S15" s="86">
        <v>0</v>
      </c>
      <c r="T15" s="87"/>
      <c r="U15" s="86">
        <v>0</v>
      </c>
      <c r="V15" s="87"/>
      <c r="W15" s="86">
        <v>0</v>
      </c>
      <c r="X15" s="82"/>
      <c r="Y15" s="83">
        <f t="shared" si="0"/>
        <v>0</v>
      </c>
      <c r="Z15" s="22"/>
      <c r="AA15" s="22"/>
    </row>
    <row r="16" spans="1:27" ht="21.75" customHeight="1">
      <c r="A16" s="13" t="s">
        <v>151</v>
      </c>
      <c r="B16" s="13"/>
      <c r="C16" s="86">
        <v>1514747</v>
      </c>
      <c r="D16" s="87"/>
      <c r="E16" s="86">
        <v>15699202883</v>
      </c>
      <c r="F16" s="87"/>
      <c r="G16" s="86">
        <v>16187719321</v>
      </c>
      <c r="H16" s="87"/>
      <c r="I16" s="86">
        <v>0</v>
      </c>
      <c r="J16" s="87"/>
      <c r="K16" s="86">
        <v>0</v>
      </c>
      <c r="L16" s="87"/>
      <c r="M16" s="86">
        <v>-1514747</v>
      </c>
      <c r="N16" s="87"/>
      <c r="O16" s="86">
        <v>23883485060</v>
      </c>
      <c r="P16" s="87"/>
      <c r="Q16" s="86">
        <v>0</v>
      </c>
      <c r="R16" s="87"/>
      <c r="S16" s="86">
        <v>0</v>
      </c>
      <c r="T16" s="87"/>
      <c r="U16" s="86">
        <v>0</v>
      </c>
      <c r="V16" s="87"/>
      <c r="W16" s="86">
        <v>0</v>
      </c>
      <c r="X16" s="82"/>
      <c r="Y16" s="83">
        <f t="shared" si="0"/>
        <v>0</v>
      </c>
      <c r="Z16" s="22"/>
      <c r="AA16" s="22"/>
    </row>
    <row r="17" spans="1:27" ht="21.75" customHeight="1">
      <c r="A17" s="13" t="s">
        <v>149</v>
      </c>
      <c r="B17" s="13"/>
      <c r="C17" s="86">
        <v>500000</v>
      </c>
      <c r="D17" s="87"/>
      <c r="E17" s="86">
        <v>29700929032</v>
      </c>
      <c r="F17" s="87"/>
      <c r="G17" s="86">
        <v>24096284680</v>
      </c>
      <c r="H17" s="87"/>
      <c r="I17" s="86">
        <v>0</v>
      </c>
      <c r="J17" s="87"/>
      <c r="K17" s="86">
        <v>0</v>
      </c>
      <c r="L17" s="87"/>
      <c r="M17" s="86">
        <v>0</v>
      </c>
      <c r="N17" s="87"/>
      <c r="O17" s="86">
        <v>0</v>
      </c>
      <c r="P17" s="87"/>
      <c r="Q17" s="86">
        <v>500000</v>
      </c>
      <c r="R17" s="87"/>
      <c r="S17" s="86">
        <v>70410</v>
      </c>
      <c r="T17" s="87"/>
      <c r="U17" s="86">
        <v>29700929032</v>
      </c>
      <c r="V17" s="87"/>
      <c r="W17" s="86">
        <v>34932865350</v>
      </c>
      <c r="X17" s="82"/>
      <c r="Y17" s="83">
        <f t="shared" si="0"/>
        <v>1.3604947458142356</v>
      </c>
      <c r="Z17" s="22"/>
      <c r="AA17" s="22"/>
    </row>
    <row r="18" spans="1:27" ht="21.75" customHeight="1">
      <c r="A18" s="13" t="s">
        <v>16</v>
      </c>
      <c r="B18" s="13"/>
      <c r="C18" s="86">
        <v>1000</v>
      </c>
      <c r="D18" s="87"/>
      <c r="E18" s="86">
        <v>70704648</v>
      </c>
      <c r="F18" s="87"/>
      <c r="G18" s="86">
        <v>104982166</v>
      </c>
      <c r="H18" s="87"/>
      <c r="I18" s="86">
        <v>0</v>
      </c>
      <c r="J18" s="87"/>
      <c r="K18" s="86">
        <v>0</v>
      </c>
      <c r="L18" s="87"/>
      <c r="M18" s="86">
        <v>0</v>
      </c>
      <c r="N18" s="87"/>
      <c r="O18" s="86">
        <v>0</v>
      </c>
      <c r="P18" s="87"/>
      <c r="Q18" s="86">
        <v>1000</v>
      </c>
      <c r="R18" s="87"/>
      <c r="S18" s="86">
        <v>131900</v>
      </c>
      <c r="T18" s="87"/>
      <c r="U18" s="86">
        <v>70704648</v>
      </c>
      <c r="V18" s="87"/>
      <c r="W18" s="86">
        <v>130880413</v>
      </c>
      <c r="X18" s="82"/>
      <c r="Y18" s="83">
        <f t="shared" si="0"/>
        <v>5.097266211415926E-3</v>
      </c>
      <c r="Z18" s="22"/>
      <c r="AA18" s="22"/>
    </row>
    <row r="19" spans="1:27" ht="21.75" customHeight="1">
      <c r="A19" s="13" t="s">
        <v>146</v>
      </c>
      <c r="B19" s="13"/>
      <c r="C19" s="86">
        <v>7693726</v>
      </c>
      <c r="D19" s="87"/>
      <c r="E19" s="86">
        <v>18374094867</v>
      </c>
      <c r="F19" s="87"/>
      <c r="G19" s="86">
        <v>13810364577</v>
      </c>
      <c r="H19" s="87"/>
      <c r="I19" s="86">
        <v>400000</v>
      </c>
      <c r="J19" s="87"/>
      <c r="K19" s="86">
        <v>1146623670</v>
      </c>
      <c r="L19" s="87"/>
      <c r="M19" s="86">
        <v>0</v>
      </c>
      <c r="N19" s="87"/>
      <c r="O19" s="86">
        <v>0</v>
      </c>
      <c r="P19" s="87"/>
      <c r="Q19" s="86">
        <v>8093726</v>
      </c>
      <c r="R19" s="87"/>
      <c r="S19" s="86">
        <v>3836</v>
      </c>
      <c r="T19" s="87"/>
      <c r="U19" s="86">
        <v>19520718537</v>
      </c>
      <c r="V19" s="87"/>
      <c r="W19" s="86">
        <v>30807535506</v>
      </c>
      <c r="X19" s="82"/>
      <c r="Y19" s="83">
        <f t="shared" si="0"/>
        <v>1.199829723884889</v>
      </c>
      <c r="Z19" s="22"/>
      <c r="AA19" s="22"/>
    </row>
    <row r="20" spans="1:27" ht="21.75" customHeight="1">
      <c r="A20" s="13" t="s">
        <v>130</v>
      </c>
      <c r="B20" s="13"/>
      <c r="C20" s="86">
        <v>16470588</v>
      </c>
      <c r="D20" s="87"/>
      <c r="E20" s="86">
        <v>29457115291</v>
      </c>
      <c r="F20" s="87"/>
      <c r="G20" s="86">
        <v>19056253233</v>
      </c>
      <c r="H20" s="87"/>
      <c r="I20" s="86">
        <v>0</v>
      </c>
      <c r="J20" s="87"/>
      <c r="K20" s="86">
        <v>0</v>
      </c>
      <c r="L20" s="87"/>
      <c r="M20" s="86">
        <v>-16470588</v>
      </c>
      <c r="N20" s="87"/>
      <c r="O20" s="86">
        <v>32697468912</v>
      </c>
      <c r="P20" s="87"/>
      <c r="Q20" s="86">
        <v>0</v>
      </c>
      <c r="R20" s="87"/>
      <c r="S20" s="86">
        <v>0</v>
      </c>
      <c r="T20" s="87"/>
      <c r="U20" s="86">
        <v>0</v>
      </c>
      <c r="V20" s="87"/>
      <c r="W20" s="86">
        <v>0</v>
      </c>
      <c r="X20" s="82"/>
      <c r="Y20" s="83">
        <f t="shared" si="0"/>
        <v>0</v>
      </c>
      <c r="Z20" s="22"/>
      <c r="AA20" s="22"/>
    </row>
    <row r="21" spans="1:27" ht="21.75" customHeight="1">
      <c r="A21" s="13" t="s">
        <v>150</v>
      </c>
      <c r="B21" s="13"/>
      <c r="C21" s="86">
        <v>1366065</v>
      </c>
      <c r="D21" s="87"/>
      <c r="E21" s="86">
        <v>2300453460</v>
      </c>
      <c r="F21" s="87"/>
      <c r="G21" s="86">
        <v>1306707126.1182001</v>
      </c>
      <c r="H21" s="87"/>
      <c r="I21" s="86">
        <v>0</v>
      </c>
      <c r="J21" s="87"/>
      <c r="K21" s="86">
        <v>0</v>
      </c>
      <c r="L21" s="87"/>
      <c r="M21" s="86">
        <v>0</v>
      </c>
      <c r="N21" s="87"/>
      <c r="O21" s="86">
        <v>0</v>
      </c>
      <c r="P21" s="87"/>
      <c r="Q21" s="86">
        <v>1366065</v>
      </c>
      <c r="R21" s="87"/>
      <c r="S21" s="86">
        <v>866</v>
      </c>
      <c r="T21" s="87"/>
      <c r="U21" s="86">
        <v>2300453460</v>
      </c>
      <c r="V21" s="87"/>
      <c r="W21" s="86">
        <v>1173867604</v>
      </c>
      <c r="X21" s="82"/>
      <c r="Y21" s="83">
        <f t="shared" si="0"/>
        <v>4.5717426598775868E-2</v>
      </c>
      <c r="Z21" s="22"/>
      <c r="AA21" s="22"/>
    </row>
    <row r="22" spans="1:27" ht="21.75" customHeight="1">
      <c r="A22" s="13" t="s">
        <v>145</v>
      </c>
      <c r="B22" s="13"/>
      <c r="C22" s="86">
        <v>1400000</v>
      </c>
      <c r="D22" s="87"/>
      <c r="E22" s="86">
        <v>8564755834</v>
      </c>
      <c r="F22" s="87"/>
      <c r="G22" s="86">
        <v>7290406144</v>
      </c>
      <c r="H22" s="87"/>
      <c r="I22" s="86">
        <v>3300000</v>
      </c>
      <c r="J22" s="87"/>
      <c r="K22" s="86">
        <v>36502589174</v>
      </c>
      <c r="L22" s="87"/>
      <c r="M22" s="86">
        <v>0</v>
      </c>
      <c r="N22" s="87"/>
      <c r="O22" s="86">
        <v>0</v>
      </c>
      <c r="P22" s="87"/>
      <c r="Q22" s="86">
        <v>4700000</v>
      </c>
      <c r="R22" s="87"/>
      <c r="S22" s="86">
        <v>11370</v>
      </c>
      <c r="T22" s="87"/>
      <c r="U22" s="86">
        <v>45067345008</v>
      </c>
      <c r="V22" s="87"/>
      <c r="W22" s="86">
        <v>53025916530</v>
      </c>
      <c r="X22" s="82"/>
      <c r="Y22" s="83">
        <f t="shared" si="0"/>
        <v>2.0651463917502326</v>
      </c>
      <c r="Z22" s="22"/>
      <c r="AA22" s="22"/>
    </row>
    <row r="23" spans="1:27" ht="21.75" customHeight="1">
      <c r="A23" s="13" t="s">
        <v>18</v>
      </c>
      <c r="B23" s="13"/>
      <c r="C23" s="86">
        <v>179488842</v>
      </c>
      <c r="D23" s="87"/>
      <c r="E23" s="86">
        <v>74112094573</v>
      </c>
      <c r="F23" s="87"/>
      <c r="G23" s="86">
        <v>49868390110</v>
      </c>
      <c r="H23" s="87"/>
      <c r="I23" s="86">
        <v>0</v>
      </c>
      <c r="J23" s="87"/>
      <c r="K23" s="86">
        <v>0</v>
      </c>
      <c r="L23" s="87"/>
      <c r="M23" s="86">
        <v>-179488842</v>
      </c>
      <c r="N23" s="87"/>
      <c r="O23" s="86">
        <v>79598072383</v>
      </c>
      <c r="P23" s="87"/>
      <c r="Q23" s="86">
        <v>0</v>
      </c>
      <c r="R23" s="87"/>
      <c r="S23" s="86">
        <v>0</v>
      </c>
      <c r="T23" s="87"/>
      <c r="U23" s="86">
        <v>0</v>
      </c>
      <c r="V23" s="87"/>
      <c r="W23" s="86">
        <v>0</v>
      </c>
      <c r="X23" s="82"/>
      <c r="Y23" s="83">
        <f t="shared" si="0"/>
        <v>0</v>
      </c>
      <c r="Z23" s="22"/>
      <c r="AA23" s="22"/>
    </row>
    <row r="24" spans="1:27" ht="21.75" customHeight="1">
      <c r="A24" s="13" t="s">
        <v>25</v>
      </c>
      <c r="B24" s="13"/>
      <c r="C24" s="86">
        <v>562500</v>
      </c>
      <c r="D24" s="87"/>
      <c r="E24" s="86">
        <v>5067096751</v>
      </c>
      <c r="F24" s="87"/>
      <c r="G24" s="86">
        <v>3652545870</v>
      </c>
      <c r="H24" s="87"/>
      <c r="I24" s="86">
        <v>0</v>
      </c>
      <c r="J24" s="87"/>
      <c r="K24" s="86">
        <v>0</v>
      </c>
      <c r="L24" s="87"/>
      <c r="M24" s="86">
        <v>-562500</v>
      </c>
      <c r="N24" s="87"/>
      <c r="O24" s="86">
        <v>5007134845</v>
      </c>
      <c r="P24" s="87"/>
      <c r="Q24" s="86">
        <v>0</v>
      </c>
      <c r="R24" s="87"/>
      <c r="S24" s="86">
        <v>0</v>
      </c>
      <c r="T24" s="87"/>
      <c r="U24" s="86">
        <v>0</v>
      </c>
      <c r="V24" s="87"/>
      <c r="W24" s="86">
        <v>0</v>
      </c>
      <c r="X24" s="82"/>
      <c r="Y24" s="83">
        <f t="shared" si="0"/>
        <v>0</v>
      </c>
      <c r="Z24" s="22"/>
      <c r="AA24" s="22"/>
    </row>
    <row r="25" spans="1:27" ht="21.75" customHeight="1">
      <c r="A25" s="13" t="s">
        <v>19</v>
      </c>
      <c r="B25" s="13"/>
      <c r="C25" s="86">
        <v>374800000</v>
      </c>
      <c r="D25" s="87"/>
      <c r="E25" s="86">
        <v>172743749348</v>
      </c>
      <c r="F25" s="87"/>
      <c r="G25" s="86">
        <v>184835689612</v>
      </c>
      <c r="H25" s="87"/>
      <c r="I25" s="86">
        <v>0</v>
      </c>
      <c r="J25" s="87"/>
      <c r="K25" s="86">
        <v>0</v>
      </c>
      <c r="L25" s="87"/>
      <c r="M25" s="86">
        <v>-124800000</v>
      </c>
      <c r="N25" s="87"/>
      <c r="O25" s="86">
        <v>68040353371</v>
      </c>
      <c r="P25" s="87"/>
      <c r="Q25" s="86">
        <v>250000000</v>
      </c>
      <c r="R25" s="87"/>
      <c r="S25" s="86">
        <v>586</v>
      </c>
      <c r="T25" s="87"/>
      <c r="U25" s="86">
        <v>115223952376</v>
      </c>
      <c r="V25" s="87"/>
      <c r="W25" s="86">
        <v>145367555000</v>
      </c>
      <c r="X25" s="82"/>
      <c r="Y25" s="83">
        <f t="shared" si="0"/>
        <v>5.6614821832633293</v>
      </c>
      <c r="Z25" s="22"/>
      <c r="AA25" s="22"/>
    </row>
    <row r="26" spans="1:27" ht="21.75" customHeight="1">
      <c r="A26" s="13" t="s">
        <v>20</v>
      </c>
      <c r="B26" s="13"/>
      <c r="C26" s="86">
        <v>3250000</v>
      </c>
      <c r="D26" s="87"/>
      <c r="E26" s="86">
        <v>3848241032</v>
      </c>
      <c r="F26" s="87"/>
      <c r="G26" s="86">
        <v>2786294160</v>
      </c>
      <c r="H26" s="87"/>
      <c r="I26" s="86">
        <v>0</v>
      </c>
      <c r="J26" s="87"/>
      <c r="K26" s="86">
        <v>0</v>
      </c>
      <c r="L26" s="87"/>
      <c r="M26" s="86">
        <v>-3250000</v>
      </c>
      <c r="N26" s="87"/>
      <c r="O26" s="86">
        <v>4123530001</v>
      </c>
      <c r="P26" s="87"/>
      <c r="Q26" s="86">
        <v>0</v>
      </c>
      <c r="R26" s="87"/>
      <c r="S26" s="86">
        <v>0</v>
      </c>
      <c r="T26" s="87"/>
      <c r="U26" s="86">
        <v>0</v>
      </c>
      <c r="V26" s="87"/>
      <c r="W26" s="86">
        <v>0</v>
      </c>
      <c r="X26" s="82"/>
      <c r="Y26" s="83">
        <f t="shared" si="0"/>
        <v>0</v>
      </c>
      <c r="Z26" s="22"/>
      <c r="AA26" s="22"/>
    </row>
    <row r="27" spans="1:27" ht="21.75" customHeight="1">
      <c r="A27" s="13" t="s">
        <v>21</v>
      </c>
      <c r="B27" s="13"/>
      <c r="C27" s="86">
        <v>118807770</v>
      </c>
      <c r="D27" s="87"/>
      <c r="E27" s="86">
        <v>148326215232</v>
      </c>
      <c r="F27" s="87"/>
      <c r="G27" s="86">
        <v>146064949177</v>
      </c>
      <c r="H27" s="87"/>
      <c r="I27" s="86">
        <v>0</v>
      </c>
      <c r="J27" s="87"/>
      <c r="K27" s="86">
        <v>0</v>
      </c>
      <c r="L27" s="87"/>
      <c r="M27" s="86">
        <v>0</v>
      </c>
      <c r="N27" s="87"/>
      <c r="O27" s="86">
        <v>0</v>
      </c>
      <c r="P27" s="87"/>
      <c r="Q27" s="86">
        <v>118807770</v>
      </c>
      <c r="R27" s="87"/>
      <c r="S27" s="86">
        <v>2146</v>
      </c>
      <c r="T27" s="87"/>
      <c r="U27" s="86">
        <v>148326215232</v>
      </c>
      <c r="V27" s="87"/>
      <c r="W27" s="86">
        <v>252990622222</v>
      </c>
      <c r="X27" s="82"/>
      <c r="Y27" s="83">
        <f t="shared" si="0"/>
        <v>9.8529682241856289</v>
      </c>
      <c r="Z27" s="22"/>
      <c r="AA27" s="22"/>
    </row>
    <row r="28" spans="1:27" ht="21.75" customHeight="1">
      <c r="A28" s="13" t="s">
        <v>22</v>
      </c>
      <c r="B28" s="13"/>
      <c r="C28" s="86">
        <v>3700</v>
      </c>
      <c r="D28" s="87"/>
      <c r="E28" s="86">
        <v>52166180194</v>
      </c>
      <c r="F28" s="87"/>
      <c r="G28" s="86">
        <v>94492827027.039993</v>
      </c>
      <c r="H28" s="87"/>
      <c r="I28" s="86">
        <v>0</v>
      </c>
      <c r="J28" s="87"/>
      <c r="K28" s="86">
        <v>0</v>
      </c>
      <c r="L28" s="87"/>
      <c r="M28" s="86">
        <v>0</v>
      </c>
      <c r="N28" s="87"/>
      <c r="O28" s="86">
        <v>0</v>
      </c>
      <c r="P28" s="87"/>
      <c r="Q28" s="86">
        <v>3700</v>
      </c>
      <c r="R28" s="87"/>
      <c r="S28" s="86">
        <v>21019182</v>
      </c>
      <c r="T28" s="87"/>
      <c r="U28" s="86">
        <v>52166180194</v>
      </c>
      <c r="V28" s="87"/>
      <c r="W28" s="86">
        <v>77584323063</v>
      </c>
      <c r="X28" s="82"/>
      <c r="Y28" s="83">
        <f t="shared" si="0"/>
        <v>3.0215976510144973</v>
      </c>
      <c r="Z28" s="22"/>
      <c r="AA28" s="22"/>
    </row>
    <row r="29" spans="1:27" ht="21.75" customHeight="1">
      <c r="A29" s="13" t="s">
        <v>143</v>
      </c>
      <c r="B29" s="13"/>
      <c r="C29" s="86">
        <v>700000</v>
      </c>
      <c r="D29" s="87"/>
      <c r="E29" s="86">
        <v>13190128341</v>
      </c>
      <c r="F29" s="87"/>
      <c r="G29" s="86">
        <v>12913798688</v>
      </c>
      <c r="H29" s="87"/>
      <c r="I29" s="86">
        <v>0</v>
      </c>
      <c r="J29" s="87"/>
      <c r="K29" s="86">
        <v>0</v>
      </c>
      <c r="L29" s="87"/>
      <c r="M29" s="86">
        <v>0</v>
      </c>
      <c r="N29" s="87"/>
      <c r="O29" s="86">
        <v>0</v>
      </c>
      <c r="P29" s="87"/>
      <c r="Q29" s="86">
        <v>700000</v>
      </c>
      <c r="R29" s="87"/>
      <c r="S29" s="86">
        <v>32450</v>
      </c>
      <c r="T29" s="87"/>
      <c r="U29" s="86">
        <v>13190128341</v>
      </c>
      <c r="V29" s="87"/>
      <c r="W29" s="86">
        <v>22539413050</v>
      </c>
      <c r="X29" s="82"/>
      <c r="Y29" s="83">
        <f t="shared" si="0"/>
        <v>0.87781957537765543</v>
      </c>
      <c r="Z29" s="22"/>
      <c r="AA29" s="22"/>
    </row>
    <row r="30" spans="1:27" ht="21.75" customHeight="1">
      <c r="A30" s="13" t="s">
        <v>128</v>
      </c>
      <c r="B30" s="13"/>
      <c r="C30" s="86">
        <v>63322195</v>
      </c>
      <c r="D30" s="87"/>
      <c r="E30" s="86">
        <v>195144487588</v>
      </c>
      <c r="F30" s="87"/>
      <c r="G30" s="86">
        <v>65446555353.048203</v>
      </c>
      <c r="H30" s="87"/>
      <c r="I30" s="86">
        <v>0</v>
      </c>
      <c r="J30" s="87"/>
      <c r="K30" s="86">
        <v>0</v>
      </c>
      <c r="L30" s="87"/>
      <c r="M30" s="86">
        <v>0</v>
      </c>
      <c r="N30" s="87"/>
      <c r="O30" s="86">
        <v>0</v>
      </c>
      <c r="P30" s="87"/>
      <c r="Q30" s="86">
        <v>63322195</v>
      </c>
      <c r="R30" s="87"/>
      <c r="S30" s="86">
        <v>1562</v>
      </c>
      <c r="T30" s="87"/>
      <c r="U30" s="86">
        <v>195144487588</v>
      </c>
      <c r="V30" s="87"/>
      <c r="W30" s="86">
        <v>98144699943</v>
      </c>
      <c r="X30" s="82"/>
      <c r="Y30" s="83">
        <f t="shared" si="0"/>
        <v>3.8223417192991929</v>
      </c>
      <c r="Z30" s="22"/>
      <c r="AA30" s="22"/>
    </row>
    <row r="31" spans="1:27" ht="21.75" customHeight="1">
      <c r="A31" s="13" t="s">
        <v>132</v>
      </c>
      <c r="B31" s="13"/>
      <c r="C31" s="86">
        <v>5387027</v>
      </c>
      <c r="D31" s="87"/>
      <c r="E31" s="86">
        <v>15625520764</v>
      </c>
      <c r="F31" s="87"/>
      <c r="G31" s="86">
        <v>10791263805</v>
      </c>
      <c r="H31" s="87"/>
      <c r="I31" s="86">
        <v>8000000</v>
      </c>
      <c r="J31" s="87"/>
      <c r="K31" s="86">
        <v>27107324236</v>
      </c>
      <c r="L31" s="87"/>
      <c r="M31" s="86">
        <v>0</v>
      </c>
      <c r="N31" s="87"/>
      <c r="O31" s="86">
        <v>0</v>
      </c>
      <c r="P31" s="87"/>
      <c r="Q31" s="86">
        <v>13387027</v>
      </c>
      <c r="R31" s="87"/>
      <c r="S31" s="86">
        <v>3072</v>
      </c>
      <c r="T31" s="87"/>
      <c r="U31" s="86">
        <v>42732845000</v>
      </c>
      <c r="V31" s="87"/>
      <c r="W31" s="86">
        <v>40807051104</v>
      </c>
      <c r="X31" s="82"/>
      <c r="Y31" s="83">
        <f t="shared" si="0"/>
        <v>1.5892706785693149</v>
      </c>
      <c r="Z31" s="22"/>
      <c r="AA31" s="22"/>
    </row>
    <row r="32" spans="1:27" ht="21.75" customHeight="1">
      <c r="A32" s="13" t="s">
        <v>23</v>
      </c>
      <c r="B32" s="13"/>
      <c r="C32" s="86">
        <v>2119000</v>
      </c>
      <c r="D32" s="87"/>
      <c r="E32" s="86">
        <v>1507655587</v>
      </c>
      <c r="F32" s="87"/>
      <c r="G32" s="86">
        <v>754840626</v>
      </c>
      <c r="H32" s="87"/>
      <c r="I32" s="86">
        <v>0</v>
      </c>
      <c r="J32" s="87"/>
      <c r="K32" s="86">
        <v>0</v>
      </c>
      <c r="L32" s="87"/>
      <c r="M32" s="86">
        <v>0</v>
      </c>
      <c r="N32" s="87"/>
      <c r="O32" s="86">
        <v>0</v>
      </c>
      <c r="P32" s="87"/>
      <c r="Q32" s="86">
        <v>2119000</v>
      </c>
      <c r="R32" s="87"/>
      <c r="S32" s="86">
        <v>664</v>
      </c>
      <c r="T32" s="87"/>
      <c r="U32" s="86">
        <v>1507655587</v>
      </c>
      <c r="V32" s="87"/>
      <c r="W32" s="86">
        <v>1396139766</v>
      </c>
      <c r="X32" s="82"/>
      <c r="Y32" s="83">
        <f t="shared" si="0"/>
        <v>5.4374034223485655E-2</v>
      </c>
      <c r="Z32" s="22"/>
      <c r="AA32" s="22"/>
    </row>
    <row r="33" spans="1:27" ht="21.75" customHeight="1">
      <c r="A33" s="13" t="s">
        <v>129</v>
      </c>
      <c r="B33" s="13"/>
      <c r="C33" s="86">
        <v>12451749</v>
      </c>
      <c r="D33" s="87"/>
      <c r="E33" s="86">
        <v>33431437985</v>
      </c>
      <c r="F33" s="87"/>
      <c r="G33" s="86">
        <v>21202032818</v>
      </c>
      <c r="H33" s="87"/>
      <c r="I33" s="86">
        <v>0</v>
      </c>
      <c r="J33" s="87"/>
      <c r="K33" s="86">
        <v>0</v>
      </c>
      <c r="L33" s="87"/>
      <c r="M33" s="86">
        <v>-12451749</v>
      </c>
      <c r="N33" s="87"/>
      <c r="O33" s="86">
        <v>30738861426</v>
      </c>
      <c r="P33" s="87"/>
      <c r="Q33" s="86">
        <v>0</v>
      </c>
      <c r="R33" s="87"/>
      <c r="S33" s="86">
        <v>0</v>
      </c>
      <c r="T33" s="87"/>
      <c r="U33" s="86">
        <v>0</v>
      </c>
      <c r="V33" s="87"/>
      <c r="W33" s="86">
        <v>0</v>
      </c>
      <c r="X33" s="82"/>
      <c r="Y33" s="83">
        <f t="shared" si="0"/>
        <v>0</v>
      </c>
      <c r="Z33" s="22"/>
      <c r="AA33" s="22"/>
    </row>
    <row r="34" spans="1:27" ht="21.75" customHeight="1">
      <c r="A34" s="13" t="s">
        <v>24</v>
      </c>
      <c r="B34" s="13"/>
      <c r="C34" s="86">
        <v>200000</v>
      </c>
      <c r="D34" s="87"/>
      <c r="E34" s="86">
        <v>1409084192</v>
      </c>
      <c r="F34" s="87"/>
      <c r="G34" s="86">
        <v>2541600378</v>
      </c>
      <c r="H34" s="87"/>
      <c r="I34" s="86">
        <v>2800000</v>
      </c>
      <c r="J34" s="87"/>
      <c r="K34" s="86">
        <v>50891213696</v>
      </c>
      <c r="L34" s="87"/>
      <c r="M34" s="86">
        <v>0</v>
      </c>
      <c r="N34" s="87"/>
      <c r="O34" s="86">
        <v>0</v>
      </c>
      <c r="P34" s="87"/>
      <c r="Q34" s="86">
        <v>3000000</v>
      </c>
      <c r="R34" s="87"/>
      <c r="S34" s="86">
        <v>22080</v>
      </c>
      <c r="T34" s="87"/>
      <c r="U34" s="86">
        <v>52300297888</v>
      </c>
      <c r="V34" s="87"/>
      <c r="W34" s="86">
        <v>65727964800</v>
      </c>
      <c r="X34" s="82"/>
      <c r="Y34" s="83">
        <f t="shared" si="0"/>
        <v>2.5598401352857536</v>
      </c>
      <c r="Z34" s="22"/>
      <c r="AA34" s="22"/>
    </row>
    <row r="35" spans="1:27" ht="21.75" customHeight="1">
      <c r="A35" s="13" t="s">
        <v>144</v>
      </c>
      <c r="B35" s="13"/>
      <c r="C35" s="86">
        <v>750000</v>
      </c>
      <c r="D35" s="87"/>
      <c r="E35" s="86">
        <v>6166260600</v>
      </c>
      <c r="F35" s="87"/>
      <c r="G35" s="86">
        <v>5405886960</v>
      </c>
      <c r="H35" s="87"/>
      <c r="I35" s="86">
        <v>0</v>
      </c>
      <c r="J35" s="87"/>
      <c r="K35" s="86">
        <v>0</v>
      </c>
      <c r="L35" s="87"/>
      <c r="M35" s="86">
        <v>-750000</v>
      </c>
      <c r="N35" s="87"/>
      <c r="O35" s="86">
        <v>10970490980</v>
      </c>
      <c r="P35" s="87"/>
      <c r="Q35" s="86">
        <v>0</v>
      </c>
      <c r="R35" s="87"/>
      <c r="S35" s="86">
        <v>0</v>
      </c>
      <c r="T35" s="87"/>
      <c r="U35" s="86">
        <v>0</v>
      </c>
      <c r="V35" s="87"/>
      <c r="W35" s="86">
        <v>0</v>
      </c>
      <c r="X35" s="82"/>
      <c r="Y35" s="83">
        <f t="shared" si="0"/>
        <v>0</v>
      </c>
      <c r="Z35" s="22"/>
      <c r="AA35" s="22"/>
    </row>
    <row r="36" spans="1:27" ht="21.75" customHeight="1">
      <c r="A36" s="13" t="s">
        <v>155</v>
      </c>
      <c r="B36" s="13"/>
      <c r="C36" s="86">
        <v>0</v>
      </c>
      <c r="D36" s="87"/>
      <c r="E36" s="86">
        <v>0</v>
      </c>
      <c r="F36" s="87"/>
      <c r="G36" s="86">
        <v>0</v>
      </c>
      <c r="H36" s="87"/>
      <c r="I36" s="86">
        <v>2700000</v>
      </c>
      <c r="J36" s="87"/>
      <c r="K36" s="86">
        <v>45854920502</v>
      </c>
      <c r="L36" s="87"/>
      <c r="M36" s="86">
        <v>0</v>
      </c>
      <c r="N36" s="87"/>
      <c r="O36" s="86">
        <v>0</v>
      </c>
      <c r="P36" s="87"/>
      <c r="Q36" s="86">
        <v>2700000</v>
      </c>
      <c r="R36" s="87"/>
      <c r="S36" s="86">
        <v>17020</v>
      </c>
      <c r="T36" s="87"/>
      <c r="U36" s="86">
        <v>45854920502</v>
      </c>
      <c r="V36" s="87"/>
      <c r="W36" s="86">
        <v>45598775580</v>
      </c>
      <c r="X36" s="82"/>
      <c r="Y36" s="83">
        <f t="shared" si="0"/>
        <v>1.7758890938544918</v>
      </c>
      <c r="Z36" s="22"/>
      <c r="AA36" s="22"/>
    </row>
    <row r="37" spans="1:27" ht="21.75" customHeight="1">
      <c r="A37" s="13" t="s">
        <v>156</v>
      </c>
      <c r="B37" s="13"/>
      <c r="C37" s="86">
        <v>0</v>
      </c>
      <c r="D37" s="87"/>
      <c r="E37" s="86">
        <v>0</v>
      </c>
      <c r="F37" s="87"/>
      <c r="G37" s="86">
        <v>0</v>
      </c>
      <c r="H37" s="87"/>
      <c r="I37" s="86">
        <v>8000000</v>
      </c>
      <c r="J37" s="87"/>
      <c r="K37" s="86">
        <v>58780287757</v>
      </c>
      <c r="L37" s="87"/>
      <c r="M37" s="86">
        <v>0</v>
      </c>
      <c r="N37" s="87"/>
      <c r="O37" s="86">
        <v>0</v>
      </c>
      <c r="P37" s="87"/>
      <c r="Q37" s="86">
        <v>8000000</v>
      </c>
      <c r="R37" s="87"/>
      <c r="S37" s="86">
        <v>8090</v>
      </c>
      <c r="T37" s="87"/>
      <c r="U37" s="86">
        <v>58780287757</v>
      </c>
      <c r="V37" s="87"/>
      <c r="W37" s="86">
        <v>64219714400</v>
      </c>
      <c r="X37" s="82"/>
      <c r="Y37" s="83">
        <f t="shared" si="0"/>
        <v>2.5010998423262985</v>
      </c>
      <c r="Z37" s="22"/>
      <c r="AA37" s="22"/>
    </row>
    <row r="38" spans="1:27" ht="21.75" customHeight="1">
      <c r="A38" s="13" t="s">
        <v>157</v>
      </c>
      <c r="B38" s="13"/>
      <c r="C38" s="86">
        <v>0</v>
      </c>
      <c r="D38" s="87"/>
      <c r="E38" s="86">
        <v>0</v>
      </c>
      <c r="F38" s="87"/>
      <c r="G38" s="86">
        <v>0</v>
      </c>
      <c r="H38" s="87"/>
      <c r="I38" s="86">
        <v>100000</v>
      </c>
      <c r="J38" s="87"/>
      <c r="K38" s="86">
        <v>1546107879</v>
      </c>
      <c r="L38" s="87"/>
      <c r="M38" s="86">
        <v>0</v>
      </c>
      <c r="N38" s="87"/>
      <c r="O38" s="86">
        <v>0</v>
      </c>
      <c r="P38" s="87"/>
      <c r="Q38" s="86">
        <v>100000</v>
      </c>
      <c r="R38" s="87"/>
      <c r="S38" s="86">
        <v>16330</v>
      </c>
      <c r="T38" s="87"/>
      <c r="U38" s="86">
        <v>1546107879</v>
      </c>
      <c r="V38" s="87"/>
      <c r="W38" s="86">
        <v>1620376910</v>
      </c>
      <c r="X38" s="82"/>
      <c r="Y38" s="83">
        <f t="shared" si="0"/>
        <v>6.3107170001836285E-2</v>
      </c>
      <c r="Z38" s="22"/>
      <c r="AA38" s="22"/>
    </row>
    <row r="39" spans="1:27" ht="21.75" customHeight="1">
      <c r="A39" s="13" t="s">
        <v>158</v>
      </c>
      <c r="B39" s="13"/>
      <c r="C39" s="86">
        <v>0</v>
      </c>
      <c r="D39" s="87"/>
      <c r="E39" s="86">
        <v>0</v>
      </c>
      <c r="F39" s="87"/>
      <c r="G39" s="86">
        <v>0</v>
      </c>
      <c r="H39" s="87"/>
      <c r="I39" s="86">
        <v>6000000</v>
      </c>
      <c r="J39" s="87"/>
      <c r="K39" s="86">
        <v>33746933730</v>
      </c>
      <c r="L39" s="87"/>
      <c r="M39" s="86">
        <v>0</v>
      </c>
      <c r="N39" s="87"/>
      <c r="O39" s="86">
        <v>0</v>
      </c>
      <c r="P39" s="87"/>
      <c r="Q39" s="86">
        <v>6000000</v>
      </c>
      <c r="R39" s="87"/>
      <c r="S39" s="86">
        <v>5390</v>
      </c>
      <c r="T39" s="87"/>
      <c r="U39" s="86">
        <v>33746933730</v>
      </c>
      <c r="V39" s="87"/>
      <c r="W39" s="86">
        <v>32090011800</v>
      </c>
      <c r="X39" s="82"/>
      <c r="Y39" s="83">
        <f t="shared" si="0"/>
        <v>1.2497770225715772</v>
      </c>
      <c r="Z39" s="22"/>
      <c r="AA39" s="22"/>
    </row>
    <row r="40" spans="1:27" ht="21.75" customHeight="1">
      <c r="A40" s="13" t="s">
        <v>159</v>
      </c>
      <c r="B40" s="13"/>
      <c r="C40" s="86">
        <v>0</v>
      </c>
      <c r="D40" s="87"/>
      <c r="E40" s="86">
        <v>0</v>
      </c>
      <c r="F40" s="87"/>
      <c r="G40" s="86">
        <v>0</v>
      </c>
      <c r="H40" s="87"/>
      <c r="I40" s="86">
        <v>2000000</v>
      </c>
      <c r="J40" s="87"/>
      <c r="K40" s="86">
        <v>32011705588</v>
      </c>
      <c r="L40" s="87"/>
      <c r="M40" s="86">
        <v>0</v>
      </c>
      <c r="N40" s="87"/>
      <c r="O40" s="86">
        <v>0</v>
      </c>
      <c r="P40" s="87"/>
      <c r="Q40" s="86">
        <v>2000000</v>
      </c>
      <c r="R40" s="87"/>
      <c r="S40" s="86">
        <v>15030</v>
      </c>
      <c r="T40" s="87"/>
      <c r="U40" s="86">
        <v>32011705588</v>
      </c>
      <c r="V40" s="87"/>
      <c r="W40" s="86">
        <v>29827636200</v>
      </c>
      <c r="X40" s="82"/>
      <c r="Y40" s="83">
        <f t="shared" si="0"/>
        <v>1.1616665831323936</v>
      </c>
      <c r="Z40" s="22"/>
      <c r="AA40" s="22"/>
    </row>
    <row r="41" spans="1:27" ht="21.75" customHeight="1">
      <c r="A41" s="13" t="s">
        <v>160</v>
      </c>
      <c r="B41" s="13"/>
      <c r="C41" s="86">
        <v>0</v>
      </c>
      <c r="D41" s="87"/>
      <c r="E41" s="86">
        <v>0</v>
      </c>
      <c r="F41" s="87"/>
      <c r="G41" s="86">
        <v>0</v>
      </c>
      <c r="H41" s="87"/>
      <c r="I41" s="86">
        <v>1000000</v>
      </c>
      <c r="J41" s="87"/>
      <c r="K41" s="86">
        <v>9216487442</v>
      </c>
      <c r="L41" s="87"/>
      <c r="M41" s="86">
        <v>-1000000</v>
      </c>
      <c r="N41" s="87"/>
      <c r="O41" s="86">
        <v>11867549281</v>
      </c>
      <c r="P41" s="87"/>
      <c r="Q41" s="86">
        <v>0</v>
      </c>
      <c r="R41" s="87"/>
      <c r="S41" s="86">
        <v>0</v>
      </c>
      <c r="T41" s="87"/>
      <c r="U41" s="86">
        <v>0</v>
      </c>
      <c r="V41" s="87"/>
      <c r="W41" s="86">
        <v>0</v>
      </c>
      <c r="X41" s="82"/>
      <c r="Y41" s="83">
        <f t="shared" si="0"/>
        <v>0</v>
      </c>
      <c r="Z41" s="22"/>
      <c r="AA41" s="22"/>
    </row>
    <row r="42" spans="1:27" ht="21.75" customHeight="1">
      <c r="A42" s="13" t="s">
        <v>17</v>
      </c>
      <c r="B42" s="13"/>
      <c r="C42" s="86">
        <v>0</v>
      </c>
      <c r="D42" s="87"/>
      <c r="E42" s="86">
        <v>0</v>
      </c>
      <c r="F42" s="87"/>
      <c r="G42" s="86">
        <v>0</v>
      </c>
      <c r="H42" s="87"/>
      <c r="I42" s="86">
        <v>12800000</v>
      </c>
      <c r="J42" s="87"/>
      <c r="K42" s="86">
        <v>33342324508</v>
      </c>
      <c r="L42" s="87"/>
      <c r="M42" s="86">
        <v>0</v>
      </c>
      <c r="N42" s="87"/>
      <c r="O42" s="86">
        <v>0</v>
      </c>
      <c r="P42" s="87"/>
      <c r="Q42" s="86">
        <v>12800000</v>
      </c>
      <c r="R42" s="87"/>
      <c r="S42" s="86">
        <v>2339</v>
      </c>
      <c r="T42" s="87"/>
      <c r="U42" s="86">
        <v>33342324508</v>
      </c>
      <c r="V42" s="87"/>
      <c r="W42" s="86">
        <v>29707769984</v>
      </c>
      <c r="X42" s="82"/>
      <c r="Y42" s="83">
        <f t="shared" si="0"/>
        <v>1.1569982756393002</v>
      </c>
      <c r="Z42" s="22"/>
      <c r="AA42" s="22"/>
    </row>
    <row r="43" spans="1:27" ht="21.75" customHeight="1">
      <c r="A43" s="13" t="s">
        <v>161</v>
      </c>
      <c r="B43" s="13"/>
      <c r="C43" s="86">
        <v>0</v>
      </c>
      <c r="D43" s="87"/>
      <c r="E43" s="86">
        <v>0</v>
      </c>
      <c r="F43" s="87"/>
      <c r="G43" s="86">
        <v>0</v>
      </c>
      <c r="H43" s="87"/>
      <c r="I43" s="86">
        <v>200000</v>
      </c>
      <c r="J43" s="87"/>
      <c r="K43" s="86">
        <v>1343569754</v>
      </c>
      <c r="L43" s="87"/>
      <c r="M43" s="86">
        <v>0</v>
      </c>
      <c r="N43" s="87"/>
      <c r="O43" s="86">
        <v>0</v>
      </c>
      <c r="P43" s="87"/>
      <c r="Q43" s="86">
        <v>200000</v>
      </c>
      <c r="R43" s="87"/>
      <c r="S43" s="86">
        <v>7970</v>
      </c>
      <c r="T43" s="87"/>
      <c r="U43" s="86">
        <v>1343569754</v>
      </c>
      <c r="V43" s="87"/>
      <c r="W43" s="86">
        <v>1581678380</v>
      </c>
      <c r="X43" s="82"/>
      <c r="Y43" s="83">
        <f t="shared" si="0"/>
        <v>6.1600017748271313E-2</v>
      </c>
      <c r="Z43" s="22"/>
      <c r="AA43" s="22"/>
    </row>
    <row r="44" spans="1:27" ht="21.75" customHeight="1">
      <c r="A44" s="13" t="s">
        <v>162</v>
      </c>
      <c r="B44" s="13"/>
      <c r="C44" s="86">
        <v>0</v>
      </c>
      <c r="D44" s="87"/>
      <c r="E44" s="86">
        <v>0</v>
      </c>
      <c r="F44" s="87"/>
      <c r="G44" s="86">
        <v>0</v>
      </c>
      <c r="H44" s="87"/>
      <c r="I44" s="86">
        <v>4000000</v>
      </c>
      <c r="J44" s="87"/>
      <c r="K44" s="86">
        <v>39584384851</v>
      </c>
      <c r="L44" s="87"/>
      <c r="M44" s="86">
        <v>0</v>
      </c>
      <c r="N44" s="87"/>
      <c r="O44" s="86">
        <v>0</v>
      </c>
      <c r="P44" s="87"/>
      <c r="Q44" s="86">
        <v>4000000</v>
      </c>
      <c r="R44" s="87"/>
      <c r="S44" s="86">
        <v>12030</v>
      </c>
      <c r="T44" s="87"/>
      <c r="U44" s="86">
        <v>39584384851</v>
      </c>
      <c r="V44" s="87"/>
      <c r="W44" s="86">
        <v>47748032400</v>
      </c>
      <c r="X44" s="82"/>
      <c r="Y44" s="83">
        <f t="shared" si="0"/>
        <v>1.859594011321716</v>
      </c>
      <c r="Z44" s="22"/>
      <c r="AA44" s="22"/>
    </row>
    <row r="45" spans="1:27" ht="21.75" customHeight="1">
      <c r="A45" s="13" t="s">
        <v>163</v>
      </c>
      <c r="B45" s="13"/>
      <c r="C45" s="86">
        <v>0</v>
      </c>
      <c r="D45" s="87"/>
      <c r="E45" s="86">
        <v>0</v>
      </c>
      <c r="F45" s="87"/>
      <c r="G45" s="86">
        <v>0</v>
      </c>
      <c r="H45" s="87"/>
      <c r="I45" s="86">
        <v>438000</v>
      </c>
      <c r="J45" s="87"/>
      <c r="K45" s="86">
        <v>10592492689</v>
      </c>
      <c r="L45" s="87"/>
      <c r="M45" s="86">
        <v>-219000</v>
      </c>
      <c r="N45" s="87"/>
      <c r="O45" s="86">
        <v>6734650377</v>
      </c>
      <c r="P45" s="87"/>
      <c r="Q45" s="86">
        <v>219000</v>
      </c>
      <c r="R45" s="87"/>
      <c r="S45" s="86">
        <v>29100</v>
      </c>
      <c r="T45" s="87"/>
      <c r="U45" s="86">
        <v>5296246349</v>
      </c>
      <c r="V45" s="87"/>
      <c r="W45" s="86">
        <v>6323637483</v>
      </c>
      <c r="X45" s="82"/>
      <c r="Y45" s="83">
        <f t="shared" si="0"/>
        <v>0.24628027171139161</v>
      </c>
      <c r="Z45" s="22"/>
      <c r="AA45" s="22"/>
    </row>
    <row r="46" spans="1:27" ht="21.75" customHeight="1">
      <c r="A46" s="13" t="s">
        <v>164</v>
      </c>
      <c r="B46" s="13"/>
      <c r="C46" s="86">
        <v>0</v>
      </c>
      <c r="D46" s="87"/>
      <c r="E46" s="86">
        <v>0</v>
      </c>
      <c r="F46" s="87"/>
      <c r="G46" s="86">
        <v>0</v>
      </c>
      <c r="H46" s="87"/>
      <c r="I46" s="86">
        <v>1400000</v>
      </c>
      <c r="J46" s="87"/>
      <c r="K46" s="86">
        <v>33139117421</v>
      </c>
      <c r="L46" s="87"/>
      <c r="M46" s="86">
        <v>0</v>
      </c>
      <c r="N46" s="87"/>
      <c r="O46" s="86">
        <v>0</v>
      </c>
      <c r="P46" s="87"/>
      <c r="Q46" s="86">
        <v>1400000</v>
      </c>
      <c r="R46" s="87"/>
      <c r="S46" s="86">
        <v>30060</v>
      </c>
      <c r="T46" s="87"/>
      <c r="U46" s="86">
        <v>33139117421</v>
      </c>
      <c r="V46" s="87"/>
      <c r="W46" s="86">
        <v>41758690680</v>
      </c>
      <c r="X46" s="82"/>
      <c r="Y46" s="83">
        <f t="shared" si="0"/>
        <v>1.6263332163853512</v>
      </c>
      <c r="Z46" s="22"/>
      <c r="AA46" s="22"/>
    </row>
    <row r="47" spans="1:27" ht="21.75" customHeight="1" thickBot="1">
      <c r="A47" s="16"/>
      <c r="B47" s="16"/>
      <c r="C47" s="86"/>
      <c r="D47" s="88"/>
      <c r="E47" s="89">
        <f>SUM(E9:E46)</f>
        <v>1693078510431</v>
      </c>
      <c r="F47" s="88"/>
      <c r="G47" s="90">
        <f>SUM(G9:G46)</f>
        <v>1496350469697.2292</v>
      </c>
      <c r="H47" s="88"/>
      <c r="I47" s="91"/>
      <c r="J47" s="88"/>
      <c r="K47" s="90">
        <f>SUM(K9:K46)</f>
        <v>421736496426</v>
      </c>
      <c r="L47" s="88"/>
      <c r="M47" s="91"/>
      <c r="N47" s="88"/>
      <c r="O47" s="90">
        <f>SUM(O9:O46)</f>
        <v>520641284643</v>
      </c>
      <c r="P47" s="88"/>
      <c r="Q47" s="91"/>
      <c r="R47" s="88"/>
      <c r="S47" s="91"/>
      <c r="T47" s="88"/>
      <c r="U47" s="90">
        <f>SUM(U9:U46)</f>
        <v>1698035935926</v>
      </c>
      <c r="V47" s="88"/>
      <c r="W47" s="90">
        <f>SUM(W9:W46)</f>
        <v>2173516485666</v>
      </c>
      <c r="X47" s="84"/>
      <c r="Y47" s="85">
        <f>SUM(Y9:Y46)</f>
        <v>84.649733970053944</v>
      </c>
      <c r="Z47" s="22"/>
    </row>
    <row r="48" spans="1:27" ht="13.5" thickTop="1">
      <c r="U48" s="21"/>
      <c r="W48" s="21"/>
      <c r="Z48" s="22"/>
    </row>
    <row r="49" spans="5:26">
      <c r="E49" s="22"/>
      <c r="G49" s="22"/>
      <c r="U49" s="21"/>
      <c r="W49" s="21"/>
      <c r="Z49" s="22"/>
    </row>
    <row r="50" spans="5:26">
      <c r="E50" s="22"/>
      <c r="G50" s="22"/>
      <c r="U50" s="21"/>
      <c r="W50" s="21"/>
    </row>
    <row r="51" spans="5:26">
      <c r="E51" s="21"/>
      <c r="G51" s="21"/>
      <c r="U51" s="21"/>
      <c r="W51" s="21"/>
    </row>
    <row r="52" spans="5:26">
      <c r="E52" s="21"/>
      <c r="U52" s="21"/>
      <c r="W52" s="21"/>
    </row>
    <row r="53" spans="5:26">
      <c r="E53" s="22"/>
      <c r="G53" s="21"/>
      <c r="U53" s="21"/>
      <c r="W53" s="21"/>
    </row>
    <row r="54" spans="5:26">
      <c r="G54" s="22"/>
      <c r="U54" s="22"/>
      <c r="W54" s="21"/>
    </row>
    <row r="55" spans="5:26">
      <c r="G55" s="21"/>
      <c r="W55" s="21"/>
    </row>
    <row r="56" spans="5:26">
      <c r="E56" s="22"/>
      <c r="G56" s="22"/>
      <c r="W56" s="21"/>
    </row>
    <row r="57" spans="5:26">
      <c r="G57" s="22"/>
      <c r="W57" s="21"/>
    </row>
    <row r="58" spans="5:26">
      <c r="W58" s="21"/>
    </row>
    <row r="59" spans="5:26">
      <c r="W59" s="21"/>
    </row>
    <row r="60" spans="5:26">
      <c r="W60" s="21"/>
    </row>
    <row r="61" spans="5:26">
      <c r="W61" s="21"/>
    </row>
    <row r="62" spans="5:26">
      <c r="W62" s="21"/>
    </row>
    <row r="63" spans="5:26">
      <c r="W63" s="21"/>
    </row>
  </sheetData>
  <mergeCells count="10">
    <mergeCell ref="C6:G6"/>
    <mergeCell ref="I6:O6"/>
    <mergeCell ref="Q6:Y6"/>
    <mergeCell ref="I7:K7"/>
    <mergeCell ref="M7:O7"/>
    <mergeCell ref="A5:Y5"/>
    <mergeCell ref="A1:Y1"/>
    <mergeCell ref="A2:Y2"/>
    <mergeCell ref="A3:Y3"/>
    <mergeCell ref="A4:Y4"/>
  </mergeCells>
  <pageMargins left="0.39" right="0.39" top="0.39" bottom="0.39" header="0" footer="0"/>
  <pageSetup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13F4-5B1E-474F-9723-E7C3AAC2A9C3}">
  <sheetPr>
    <tabColor rgb="FF92D050"/>
    <pageSetUpPr fitToPage="1"/>
  </sheetPr>
  <dimension ref="A1:AW34"/>
  <sheetViews>
    <sheetView rightToLeft="1" view="pageBreakPreview" zoomScale="89" zoomScaleNormal="100" zoomScaleSheetLayoutView="89" workbookViewId="0">
      <selection activeCell="A19" sqref="A19"/>
    </sheetView>
  </sheetViews>
  <sheetFormatPr defaultRowHeight="12.75"/>
  <cols>
    <col min="1" max="1" width="81.28515625" style="49" bestFit="1" customWidth="1"/>
    <col min="2" max="2" width="1.28515625" style="49" customWidth="1"/>
    <col min="3" max="3" width="13" style="49" customWidth="1"/>
    <col min="4" max="4" width="1.28515625" style="49" customWidth="1"/>
    <col min="5" max="5" width="13" style="49" customWidth="1"/>
    <col min="6" max="6" width="1.28515625" style="49" customWidth="1"/>
    <col min="7" max="7" width="6.42578125" style="49" customWidth="1"/>
    <col min="8" max="8" width="1.28515625" style="49" customWidth="1"/>
    <col min="9" max="9" width="5.140625" style="49" customWidth="1"/>
    <col min="10" max="10" width="1.28515625" style="49" customWidth="1"/>
    <col min="11" max="11" width="9.140625" style="49" customWidth="1"/>
    <col min="12" max="12" width="1.28515625" style="49" customWidth="1"/>
    <col min="13" max="13" width="2.5703125" style="49" customWidth="1"/>
    <col min="14" max="14" width="1.28515625" style="49" customWidth="1"/>
    <col min="15" max="15" width="9.140625" style="49" customWidth="1"/>
    <col min="16" max="16" width="1.28515625" style="49" customWidth="1"/>
    <col min="17" max="17" width="2.5703125" style="49" customWidth="1"/>
    <col min="18" max="20" width="1.28515625" style="49" customWidth="1"/>
    <col min="21" max="21" width="6.42578125" style="49" customWidth="1"/>
    <col min="22" max="22" width="1.28515625" style="49" customWidth="1"/>
    <col min="23" max="23" width="2.5703125" style="49" customWidth="1"/>
    <col min="24" max="26" width="1.28515625" style="49" customWidth="1"/>
    <col min="27" max="27" width="6.42578125" style="49" customWidth="1"/>
    <col min="28" max="28" width="1.28515625" style="49" customWidth="1"/>
    <col min="29" max="29" width="2.5703125" style="49" customWidth="1"/>
    <col min="30" max="32" width="1.28515625" style="49" customWidth="1"/>
    <col min="33" max="33" width="9.140625" style="49" customWidth="1"/>
    <col min="34" max="34" width="1.28515625" style="49" customWidth="1"/>
    <col min="35" max="35" width="2.5703125" style="49" customWidth="1"/>
    <col min="36" max="36" width="1.28515625" style="49" customWidth="1"/>
    <col min="37" max="37" width="9.140625" style="49" customWidth="1"/>
    <col min="38" max="38" width="1.28515625" style="49" customWidth="1"/>
    <col min="39" max="39" width="2.5703125" style="49" customWidth="1"/>
    <col min="40" max="40" width="1.28515625" style="49" customWidth="1"/>
    <col min="41" max="41" width="9.140625" style="49" customWidth="1"/>
    <col min="42" max="42" width="1.28515625" style="49" customWidth="1"/>
    <col min="43" max="43" width="2.5703125" style="49" customWidth="1"/>
    <col min="44" max="44" width="1.28515625" style="49" customWidth="1"/>
    <col min="45" max="45" width="11.7109375" style="49" customWidth="1"/>
    <col min="46" max="47" width="1.28515625" style="49" customWidth="1"/>
    <col min="48" max="48" width="13" style="49" customWidth="1"/>
    <col min="49" max="49" width="7.7109375" style="49" customWidth="1"/>
    <col min="50" max="50" width="0.28515625" style="49" customWidth="1"/>
    <col min="51" max="16384" width="9.140625" style="49"/>
  </cols>
  <sheetData>
    <row r="1" spans="1:49" ht="29.1" customHeight="1">
      <c r="A1" s="129" t="s">
        <v>133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</row>
    <row r="2" spans="1:49" ht="21.75" customHeight="1">
      <c r="A2" s="129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</row>
    <row r="3" spans="1:49" ht="21.75" customHeight="1">
      <c r="A3" s="130" t="str">
        <f>'0'!A18:I18</f>
        <v>‫برای ماه منتهی به 31 خرداد  ماه 1405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</row>
    <row r="4" spans="1:49" ht="14.45" customHeight="1"/>
    <row r="5" spans="1:49" ht="14.45" customHeight="1">
      <c r="A5" s="131" t="s">
        <v>27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</row>
    <row r="6" spans="1:49" ht="14.45" customHeight="1">
      <c r="I6" s="132" t="s">
        <v>152</v>
      </c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C6" s="132" t="s">
        <v>165</v>
      </c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</row>
    <row r="7" spans="1:49" ht="14.45" customHeight="1"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</row>
    <row r="8" spans="1:49" ht="14.45" customHeight="1">
      <c r="A8" s="132" t="s">
        <v>28</v>
      </c>
      <c r="B8" s="132"/>
      <c r="C8" s="132"/>
      <c r="D8" s="132"/>
      <c r="E8" s="132"/>
      <c r="F8" s="132"/>
      <c r="G8" s="132"/>
      <c r="I8" s="132" t="s">
        <v>29</v>
      </c>
      <c r="J8" s="132"/>
      <c r="K8" s="132"/>
      <c r="M8" s="132" t="s">
        <v>30</v>
      </c>
      <c r="N8" s="132"/>
      <c r="O8" s="132"/>
      <c r="Q8" s="132" t="s">
        <v>31</v>
      </c>
      <c r="R8" s="132"/>
      <c r="S8" s="132"/>
      <c r="T8" s="132"/>
      <c r="U8" s="132"/>
      <c r="W8" s="132" t="s">
        <v>32</v>
      </c>
      <c r="X8" s="132"/>
      <c r="Y8" s="132"/>
      <c r="Z8" s="132"/>
      <c r="AA8" s="132"/>
      <c r="AC8" s="132" t="s">
        <v>29</v>
      </c>
      <c r="AD8" s="132"/>
      <c r="AE8" s="132"/>
      <c r="AF8" s="132"/>
      <c r="AG8" s="132"/>
      <c r="AI8" s="132" t="s">
        <v>30</v>
      </c>
      <c r="AJ8" s="132"/>
      <c r="AK8" s="132"/>
      <c r="AM8" s="132" t="s">
        <v>31</v>
      </c>
      <c r="AN8" s="132"/>
      <c r="AO8" s="132"/>
      <c r="AQ8" s="132" t="s">
        <v>32</v>
      </c>
      <c r="AR8" s="132"/>
      <c r="AS8" s="132"/>
    </row>
    <row r="9" spans="1:49" ht="21.75" customHeight="1">
      <c r="A9" s="123" t="s">
        <v>33</v>
      </c>
      <c r="B9" s="123"/>
      <c r="C9" s="123"/>
      <c r="D9" s="123"/>
      <c r="E9" s="123"/>
      <c r="F9" s="123"/>
      <c r="G9" s="123"/>
      <c r="I9" s="124">
        <v>180189903</v>
      </c>
      <c r="J9" s="124"/>
      <c r="K9" s="124"/>
      <c r="M9" s="124">
        <v>973</v>
      </c>
      <c r="N9" s="124"/>
      <c r="O9" s="124"/>
      <c r="Q9" s="123" t="s">
        <v>34</v>
      </c>
      <c r="R9" s="123"/>
      <c r="S9" s="123"/>
      <c r="T9" s="123"/>
      <c r="U9" s="123"/>
      <c r="W9" s="125">
        <v>0.198525972309885</v>
      </c>
      <c r="X9" s="125"/>
      <c r="Y9" s="125"/>
      <c r="Z9" s="125"/>
      <c r="AA9" s="125"/>
      <c r="AC9" s="124">
        <v>180189901</v>
      </c>
      <c r="AD9" s="124"/>
      <c r="AE9" s="124"/>
      <c r="AF9" s="124"/>
      <c r="AG9" s="124"/>
      <c r="AI9" s="124">
        <v>973</v>
      </c>
      <c r="AJ9" s="124"/>
      <c r="AK9" s="124"/>
      <c r="AM9" s="123" t="s">
        <v>34</v>
      </c>
      <c r="AN9" s="123"/>
      <c r="AO9" s="123"/>
      <c r="AQ9" s="125">
        <v>0.198525972309885</v>
      </c>
      <c r="AR9" s="125"/>
      <c r="AS9" s="125"/>
    </row>
    <row r="10" spans="1:49" ht="21.75" customHeight="1">
      <c r="A10" s="126" t="s">
        <v>35</v>
      </c>
      <c r="B10" s="126"/>
      <c r="C10" s="126"/>
      <c r="D10" s="126"/>
      <c r="E10" s="126"/>
      <c r="F10" s="126"/>
      <c r="G10" s="126"/>
      <c r="I10" s="127">
        <v>450899961</v>
      </c>
      <c r="J10" s="127"/>
      <c r="K10" s="127"/>
      <c r="M10" s="127">
        <v>535</v>
      </c>
      <c r="N10" s="127"/>
      <c r="O10" s="127"/>
      <c r="Q10" s="126" t="s">
        <v>36</v>
      </c>
      <c r="R10" s="126"/>
      <c r="S10" s="126"/>
      <c r="T10" s="126"/>
      <c r="U10" s="126"/>
      <c r="W10" s="128">
        <v>0.19888526561935199</v>
      </c>
      <c r="X10" s="128"/>
      <c r="Y10" s="128"/>
      <c r="Z10" s="128"/>
      <c r="AA10" s="128"/>
      <c r="AC10" s="127">
        <v>450899961</v>
      </c>
      <c r="AD10" s="127"/>
      <c r="AE10" s="127"/>
      <c r="AF10" s="127"/>
      <c r="AG10" s="127"/>
      <c r="AI10" s="127">
        <v>535</v>
      </c>
      <c r="AJ10" s="127"/>
      <c r="AK10" s="127"/>
      <c r="AM10" s="126" t="s">
        <v>36</v>
      </c>
      <c r="AN10" s="126"/>
      <c r="AO10" s="126"/>
      <c r="AQ10" s="128">
        <v>0.19888526561935199</v>
      </c>
      <c r="AR10" s="128"/>
      <c r="AS10" s="128"/>
    </row>
    <row r="11" spans="1:49" ht="21.75" customHeight="1">
      <c r="A11" s="126" t="s">
        <v>37</v>
      </c>
      <c r="B11" s="126"/>
      <c r="C11" s="126"/>
      <c r="D11" s="126"/>
      <c r="E11" s="126"/>
      <c r="F11" s="126"/>
      <c r="G11" s="126"/>
      <c r="I11" s="127">
        <v>350000000</v>
      </c>
      <c r="J11" s="127"/>
      <c r="K11" s="127"/>
      <c r="M11" s="127">
        <v>542</v>
      </c>
      <c r="N11" s="127"/>
      <c r="O11" s="127"/>
      <c r="Q11" s="126" t="s">
        <v>38</v>
      </c>
      <c r="R11" s="126"/>
      <c r="S11" s="126"/>
      <c r="T11" s="126"/>
      <c r="U11" s="126"/>
      <c r="W11" s="128">
        <v>0.199239199958573</v>
      </c>
      <c r="X11" s="128"/>
      <c r="Y11" s="128"/>
      <c r="Z11" s="128"/>
      <c r="AA11" s="128"/>
      <c r="AC11" s="127">
        <v>350000000</v>
      </c>
      <c r="AD11" s="127"/>
      <c r="AE11" s="127"/>
      <c r="AF11" s="127"/>
      <c r="AG11" s="127"/>
      <c r="AI11" s="127">
        <v>542</v>
      </c>
      <c r="AJ11" s="127"/>
      <c r="AK11" s="127"/>
      <c r="AM11" s="126" t="s">
        <v>38</v>
      </c>
      <c r="AN11" s="126"/>
      <c r="AO11" s="126"/>
      <c r="AQ11" s="128">
        <v>0.199239199958573</v>
      </c>
      <c r="AR11" s="128"/>
      <c r="AS11" s="128"/>
    </row>
    <row r="12" spans="1:49" ht="21.75" customHeight="1"/>
    <row r="13" spans="1:49" ht="21.75" customHeight="1"/>
    <row r="14" spans="1:49" ht="21.75" customHeight="1"/>
    <row r="15" spans="1:49" ht="21.75" customHeight="1"/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</sheetData>
  <mergeCells count="42">
    <mergeCell ref="AI8:AK8"/>
    <mergeCell ref="AM8:AO8"/>
    <mergeCell ref="AQ8:AS8"/>
    <mergeCell ref="AC8:AG8"/>
    <mergeCell ref="AM11:AO11"/>
    <mergeCell ref="AQ11:AS11"/>
    <mergeCell ref="AC11:AG11"/>
    <mergeCell ref="AI11:AK11"/>
    <mergeCell ref="AQ10:AS10"/>
    <mergeCell ref="AC9:AG9"/>
    <mergeCell ref="AI9:AK9"/>
    <mergeCell ref="AM9:AO9"/>
    <mergeCell ref="AQ9:AS9"/>
    <mergeCell ref="AC10:AG10"/>
    <mergeCell ref="AI10:AK10"/>
    <mergeCell ref="AM10:AO10"/>
    <mergeCell ref="A8:G8"/>
    <mergeCell ref="I8:K8"/>
    <mergeCell ref="M8:O8"/>
    <mergeCell ref="Q8:U8"/>
    <mergeCell ref="W8:AA8"/>
    <mergeCell ref="A11:G11"/>
    <mergeCell ref="I11:K11"/>
    <mergeCell ref="M11:O11"/>
    <mergeCell ref="Q11:U11"/>
    <mergeCell ref="W11:AA11"/>
    <mergeCell ref="A1:AW1"/>
    <mergeCell ref="A2:AW2"/>
    <mergeCell ref="A3:AW3"/>
    <mergeCell ref="A5:AW5"/>
    <mergeCell ref="I6:AA6"/>
    <mergeCell ref="AC6:AS6"/>
    <mergeCell ref="A10:G10"/>
    <mergeCell ref="I10:K10"/>
    <mergeCell ref="M10:O10"/>
    <mergeCell ref="Q10:U10"/>
    <mergeCell ref="W10:AA10"/>
    <mergeCell ref="A9:G9"/>
    <mergeCell ref="I9:K9"/>
    <mergeCell ref="M9:O9"/>
    <mergeCell ref="Q9:U9"/>
    <mergeCell ref="W9:AA9"/>
  </mergeCells>
  <pageMargins left="0.39" right="0.39" top="0.39" bottom="0.39" header="0" footer="0"/>
  <pageSetup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K26"/>
  <sheetViews>
    <sheetView rightToLeft="1" view="pageBreakPreview" zoomScale="87" zoomScaleNormal="100" zoomScaleSheetLayoutView="87" workbookViewId="0">
      <selection activeCell="W17" sqref="W17"/>
    </sheetView>
  </sheetViews>
  <sheetFormatPr defaultRowHeight="12.75"/>
  <cols>
    <col min="1" max="1" width="29.7109375" bestFit="1" customWidth="1"/>
    <col min="2" max="2" width="1.28515625" customWidth="1"/>
    <col min="3" max="3" width="12.28515625" bestFit="1" customWidth="1"/>
    <col min="4" max="4" width="1.28515625" customWidth="1"/>
    <col min="5" max="5" width="14.5703125" bestFit="1" customWidth="1"/>
    <col min="6" max="6" width="1.28515625" customWidth="1"/>
    <col min="7" max="7" width="15.5703125" bestFit="1" customWidth="1"/>
    <col min="8" max="8" width="1.28515625" customWidth="1"/>
    <col min="9" max="9" width="12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9.140625" bestFit="1" customWidth="1"/>
    <col min="14" max="14" width="1.28515625" customWidth="1"/>
    <col min="15" max="15" width="17.28515625" bestFit="1" customWidth="1"/>
    <col min="16" max="16" width="1.28515625" customWidth="1"/>
    <col min="17" max="17" width="17.28515625" bestFit="1" customWidth="1"/>
    <col min="18" max="18" width="1.28515625" customWidth="1"/>
    <col min="19" max="19" width="9.140625" bestFit="1" customWidth="1"/>
    <col min="20" max="20" width="1.28515625" customWidth="1"/>
    <col min="21" max="21" width="17.28515625" bestFit="1" customWidth="1"/>
    <col min="22" max="22" width="1.28515625" customWidth="1"/>
    <col min="23" max="23" width="9.140625" bestFit="1" customWidth="1"/>
    <col min="24" max="24" width="1.28515625" customWidth="1"/>
    <col min="25" max="25" width="17.28515625" bestFit="1" customWidth="1"/>
    <col min="26" max="26" width="1.28515625" customWidth="1"/>
    <col min="27" max="27" width="9.140625" bestFit="1" customWidth="1"/>
    <col min="28" max="28" width="1.28515625" customWidth="1"/>
    <col min="29" max="29" width="16.140625" bestFit="1" customWidth="1"/>
    <col min="30" max="30" width="1.28515625" customWidth="1"/>
    <col min="31" max="31" width="17.28515625" bestFit="1" customWidth="1"/>
    <col min="32" max="32" width="1.28515625" customWidth="1"/>
    <col min="33" max="33" width="17.85546875" bestFit="1" customWidth="1"/>
    <col min="34" max="34" width="1.28515625" customWidth="1"/>
    <col min="35" max="35" width="18.5703125" bestFit="1" customWidth="1"/>
    <col min="36" max="36" width="0.28515625" customWidth="1"/>
  </cols>
  <sheetData>
    <row r="1" spans="1:37" ht="29.1" customHeight="1">
      <c r="A1" s="119" t="str">
        <f>سهام!A1</f>
        <v>صندوق حفظ ارزش دماوند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</row>
    <row r="2" spans="1:37" ht="21.75" customHeight="1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</row>
    <row r="3" spans="1:37" ht="21.75" customHeight="1">
      <c r="A3" s="120" t="str">
        <f>'0'!A18:I18</f>
        <v>‫برای ماه منتهی به 31 خرداد  ماه 1405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</row>
    <row r="4" spans="1:37" ht="14.45" customHeight="1"/>
    <row r="5" spans="1:37" ht="14.45" customHeight="1">
      <c r="A5" s="118" t="s">
        <v>127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</row>
    <row r="6" spans="1:37" ht="14.45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 t="s">
        <v>152</v>
      </c>
      <c r="N6" s="121"/>
      <c r="O6" s="121"/>
      <c r="P6" s="121"/>
      <c r="Q6" s="121"/>
      <c r="S6" s="121" t="s">
        <v>1</v>
      </c>
      <c r="T6" s="121"/>
      <c r="U6" s="121"/>
      <c r="V6" s="121"/>
      <c r="W6" s="121"/>
      <c r="X6" s="121"/>
      <c r="Y6" s="121"/>
      <c r="AA6" s="121" t="s">
        <v>165</v>
      </c>
      <c r="AB6" s="121"/>
      <c r="AC6" s="121"/>
      <c r="AD6" s="121"/>
      <c r="AE6" s="121"/>
      <c r="AF6" s="121"/>
      <c r="AG6" s="121"/>
      <c r="AH6" s="121"/>
      <c r="AI6" s="121"/>
    </row>
    <row r="7" spans="1:37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S7" s="122" t="s">
        <v>2</v>
      </c>
      <c r="T7" s="122"/>
      <c r="U7" s="122"/>
      <c r="V7" s="3"/>
      <c r="W7" s="122" t="s">
        <v>3</v>
      </c>
      <c r="X7" s="122"/>
      <c r="Y7" s="122"/>
      <c r="AA7" s="3"/>
      <c r="AB7" s="3"/>
      <c r="AC7" s="3"/>
      <c r="AD7" s="3"/>
      <c r="AE7" s="3"/>
      <c r="AF7" s="3"/>
      <c r="AG7" s="3"/>
      <c r="AH7" s="3"/>
      <c r="AI7" s="3"/>
    </row>
    <row r="8" spans="1:37" ht="42">
      <c r="A8" s="14" t="s">
        <v>40</v>
      </c>
      <c r="C8" s="7" t="s">
        <v>41</v>
      </c>
      <c r="E8" s="7" t="s">
        <v>42</v>
      </c>
      <c r="G8" s="2" t="s">
        <v>43</v>
      </c>
      <c r="I8" s="2" t="s">
        <v>44</v>
      </c>
      <c r="K8" s="2" t="s">
        <v>45</v>
      </c>
      <c r="M8" s="2" t="s">
        <v>5</v>
      </c>
      <c r="O8" s="2" t="s">
        <v>6</v>
      </c>
      <c r="Q8" s="2" t="s">
        <v>7</v>
      </c>
      <c r="S8" s="2" t="s">
        <v>5</v>
      </c>
      <c r="T8" s="3"/>
      <c r="U8" s="2" t="s">
        <v>6</v>
      </c>
      <c r="W8" s="2" t="s">
        <v>5</v>
      </c>
      <c r="X8" s="3"/>
      <c r="Y8" s="2" t="s">
        <v>8</v>
      </c>
      <c r="AA8" s="2" t="s">
        <v>5</v>
      </c>
      <c r="AC8" s="2" t="s">
        <v>9</v>
      </c>
      <c r="AE8" s="2" t="s">
        <v>6</v>
      </c>
      <c r="AG8" s="2" t="s">
        <v>7</v>
      </c>
      <c r="AI8" s="2" t="s">
        <v>10</v>
      </c>
    </row>
    <row r="9" spans="1:37" ht="18.75">
      <c r="A9" s="74" t="s">
        <v>74</v>
      </c>
      <c r="B9" s="73"/>
      <c r="C9" s="75" t="s">
        <v>46</v>
      </c>
      <c r="D9" s="73"/>
      <c r="E9" s="75" t="s">
        <v>46</v>
      </c>
      <c r="G9" s="5" t="s">
        <v>134</v>
      </c>
      <c r="I9" s="5" t="s">
        <v>100</v>
      </c>
      <c r="K9" s="11">
        <v>23</v>
      </c>
      <c r="L9" s="21"/>
      <c r="M9" s="94">
        <v>110000</v>
      </c>
      <c r="N9" s="87"/>
      <c r="O9" s="94">
        <v>110015000001</v>
      </c>
      <c r="P9" s="87"/>
      <c r="Q9" s="94">
        <v>109940187500</v>
      </c>
      <c r="R9" s="87"/>
      <c r="S9" s="94">
        <v>0</v>
      </c>
      <c r="T9" s="87"/>
      <c r="U9" s="94">
        <v>0</v>
      </c>
      <c r="V9" s="87"/>
      <c r="W9" s="94">
        <v>110000</v>
      </c>
      <c r="X9" s="87"/>
      <c r="Y9" s="94">
        <v>109940187500</v>
      </c>
      <c r="Z9" s="87"/>
      <c r="AA9" s="94">
        <v>0</v>
      </c>
      <c r="AB9" s="87"/>
      <c r="AC9" s="94">
        <v>0</v>
      </c>
      <c r="AD9" s="87"/>
      <c r="AE9" s="94">
        <v>0</v>
      </c>
      <c r="AF9" s="87"/>
      <c r="AG9" s="94">
        <v>0</v>
      </c>
      <c r="AH9" s="84"/>
      <c r="AI9" s="92">
        <f>AG9/2567658967995*100</f>
        <v>0</v>
      </c>
      <c r="AK9" s="34"/>
    </row>
    <row r="10" spans="1:37" ht="18.75">
      <c r="A10" s="74" t="s">
        <v>75</v>
      </c>
      <c r="B10" s="73"/>
      <c r="C10" s="75" t="s">
        <v>46</v>
      </c>
      <c r="D10" s="73"/>
      <c r="E10" s="75" t="s">
        <v>46</v>
      </c>
      <c r="G10" s="6" t="s">
        <v>166</v>
      </c>
      <c r="I10" s="6" t="s">
        <v>99</v>
      </c>
      <c r="K10" s="12">
        <v>23</v>
      </c>
      <c r="L10" s="21"/>
      <c r="M10" s="86">
        <v>0</v>
      </c>
      <c r="N10" s="87"/>
      <c r="O10" s="86">
        <v>0</v>
      </c>
      <c r="P10" s="87"/>
      <c r="Q10" s="86">
        <v>0</v>
      </c>
      <c r="R10" s="87"/>
      <c r="S10" s="86">
        <v>145000</v>
      </c>
      <c r="T10" s="87"/>
      <c r="U10" s="86">
        <v>145071343750</v>
      </c>
      <c r="V10" s="87"/>
      <c r="W10" s="86">
        <v>0</v>
      </c>
      <c r="X10" s="87"/>
      <c r="Y10" s="86">
        <v>0</v>
      </c>
      <c r="Z10" s="87"/>
      <c r="AA10" s="86">
        <v>145000</v>
      </c>
      <c r="AB10" s="87"/>
      <c r="AC10" s="86">
        <v>1000000</v>
      </c>
      <c r="AD10" s="87"/>
      <c r="AE10" s="86">
        <v>145071343750</v>
      </c>
      <c r="AF10" s="87"/>
      <c r="AG10" s="86">
        <v>144921156250</v>
      </c>
      <c r="AH10" s="84"/>
      <c r="AI10" s="92">
        <f>AG10/2567658967995*100</f>
        <v>5.6440967455722575</v>
      </c>
      <c r="AK10" s="34"/>
    </row>
    <row r="11" spans="1:37" ht="18.75">
      <c r="A11" s="74" t="s">
        <v>76</v>
      </c>
      <c r="B11" s="73"/>
      <c r="C11" s="75" t="s">
        <v>46</v>
      </c>
      <c r="D11" s="73"/>
      <c r="E11" s="75" t="s">
        <v>46</v>
      </c>
      <c r="G11" s="6" t="s">
        <v>148</v>
      </c>
      <c r="I11" s="6" t="s">
        <v>98</v>
      </c>
      <c r="K11" s="12">
        <v>23</v>
      </c>
      <c r="L11" s="21"/>
      <c r="M11" s="86">
        <v>0</v>
      </c>
      <c r="N11" s="87"/>
      <c r="O11" s="86">
        <v>0</v>
      </c>
      <c r="P11" s="87"/>
      <c r="Q11" s="86">
        <v>0</v>
      </c>
      <c r="R11" s="87"/>
      <c r="S11" s="86">
        <v>198600</v>
      </c>
      <c r="T11" s="87"/>
      <c r="U11" s="86">
        <v>198702468750</v>
      </c>
      <c r="V11" s="87"/>
      <c r="W11" s="86">
        <v>48000</v>
      </c>
      <c r="X11" s="87"/>
      <c r="Y11" s="86">
        <v>47973900000</v>
      </c>
      <c r="Z11" s="87"/>
      <c r="AA11" s="86">
        <v>150600</v>
      </c>
      <c r="AB11" s="87"/>
      <c r="AC11" s="86">
        <v>1000000</v>
      </c>
      <c r="AD11" s="87"/>
      <c r="AE11" s="86">
        <v>150677702889</v>
      </c>
      <c r="AF11" s="87"/>
      <c r="AG11" s="86">
        <v>150518111250</v>
      </c>
      <c r="AH11" s="84"/>
      <c r="AI11" s="92">
        <f t="shared" ref="AI11" si="0">AG11/2567658967995*100</f>
        <v>5.8620756543667714</v>
      </c>
      <c r="AK11" s="34"/>
    </row>
    <row r="12" spans="1:37" ht="21.75" customHeight="1" thickBot="1">
      <c r="A12" s="29"/>
      <c r="B12" s="25"/>
      <c r="C12" s="19"/>
      <c r="D12" s="25"/>
      <c r="E12" s="19"/>
      <c r="F12" s="25"/>
      <c r="G12" s="19"/>
      <c r="H12" s="25"/>
      <c r="I12" s="19"/>
      <c r="J12" s="25"/>
      <c r="K12" s="19"/>
      <c r="L12" s="25"/>
      <c r="M12" s="86"/>
      <c r="N12" s="87"/>
      <c r="O12" s="95">
        <f>SUM(O9:O11)</f>
        <v>110015000001</v>
      </c>
      <c r="P12" s="87"/>
      <c r="Q12" s="95">
        <f>SUM(Q9:Q11)</f>
        <v>109940187500</v>
      </c>
      <c r="R12" s="87"/>
      <c r="S12" s="86"/>
      <c r="T12" s="87"/>
      <c r="U12" s="95">
        <f>SUM(U9:U11)</f>
        <v>343773812500</v>
      </c>
      <c r="V12" s="87"/>
      <c r="W12" s="86"/>
      <c r="X12" s="87"/>
      <c r="Y12" s="95">
        <f>SUM(Y9:Y11)</f>
        <v>157914087500</v>
      </c>
      <c r="Z12" s="87"/>
      <c r="AA12" s="86"/>
      <c r="AB12" s="87"/>
      <c r="AC12" s="86"/>
      <c r="AD12" s="87"/>
      <c r="AE12" s="95">
        <f>SUM(AE9:AE11)</f>
        <v>295749046639</v>
      </c>
      <c r="AF12" s="87"/>
      <c r="AG12" s="95">
        <f>SUM(AG9:AG11)</f>
        <v>295439267500</v>
      </c>
      <c r="AH12" s="82"/>
      <c r="AI12" s="93">
        <f>SUM(AI9:AI11)</f>
        <v>11.506172399939029</v>
      </c>
    </row>
    <row r="13" spans="1:37" ht="13.5" thickTop="1">
      <c r="AE13" s="33"/>
      <c r="AG13" s="33"/>
    </row>
    <row r="14" spans="1:37">
      <c r="O14" s="33"/>
      <c r="Q14" s="33"/>
      <c r="AE14" s="33"/>
      <c r="AG14" s="33"/>
    </row>
    <row r="15" spans="1:37" ht="18.75">
      <c r="O15" s="33"/>
      <c r="Q15" s="33"/>
      <c r="AE15" s="24"/>
      <c r="AF15" s="24"/>
      <c r="AG15" s="24"/>
    </row>
    <row r="16" spans="1:37" ht="18.75">
      <c r="Q16" s="34"/>
      <c r="AE16" s="24"/>
      <c r="AF16" s="24"/>
      <c r="AG16" s="24"/>
    </row>
    <row r="17" spans="31:33" ht="18.75">
      <c r="AE17" s="24"/>
      <c r="AF17" s="24"/>
      <c r="AG17" s="24"/>
    </row>
    <row r="18" spans="31:33">
      <c r="AG18" s="106"/>
    </row>
    <row r="20" spans="31:33" ht="18.75">
      <c r="AG20" s="24"/>
    </row>
    <row r="21" spans="31:33" ht="18.75">
      <c r="AG21" s="24"/>
    </row>
    <row r="22" spans="31:33" ht="18.75">
      <c r="AG22" s="24"/>
    </row>
    <row r="23" spans="31:33" ht="18.75">
      <c r="AG23" s="24"/>
    </row>
    <row r="24" spans="31:33" ht="18.75">
      <c r="AG24" s="24"/>
    </row>
    <row r="25" spans="31:33" ht="18.75">
      <c r="AG25" s="24"/>
    </row>
    <row r="26" spans="31:33" ht="18.75">
      <c r="AG26" s="24"/>
    </row>
  </sheetData>
  <mergeCells count="10">
    <mergeCell ref="A1:AI1"/>
    <mergeCell ref="A2:AI2"/>
    <mergeCell ref="A3:AI3"/>
    <mergeCell ref="S7:U7"/>
    <mergeCell ref="W7:Y7"/>
    <mergeCell ref="A5:AI5"/>
    <mergeCell ref="A6:L6"/>
    <mergeCell ref="M6:Q6"/>
    <mergeCell ref="S6:Y6"/>
    <mergeCell ref="AA6:AI6"/>
  </mergeCells>
  <pageMargins left="0.39" right="0.39" top="0.39" bottom="0.39" header="0" footer="0"/>
  <pageSetup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60C1-1BCB-43B7-876B-53C2C0961E6D}">
  <sheetPr>
    <tabColor rgb="FF92D050"/>
    <pageSetUpPr fitToPage="1"/>
  </sheetPr>
  <dimension ref="A1:O11"/>
  <sheetViews>
    <sheetView rightToLeft="1" view="pageBreakPreview" zoomScaleNormal="100" zoomScaleSheetLayoutView="100" workbookViewId="0">
      <selection activeCell="F32" sqref="F32"/>
    </sheetView>
  </sheetViews>
  <sheetFormatPr defaultRowHeight="12.75"/>
  <cols>
    <col min="1" max="1" width="29.85546875" style="49" customWidth="1"/>
    <col min="2" max="2" width="1.28515625" style="49" customWidth="1"/>
    <col min="3" max="3" width="15.5703125" style="49" customWidth="1"/>
    <col min="4" max="4" width="1.28515625" style="49" customWidth="1"/>
    <col min="5" max="5" width="15.5703125" style="49" customWidth="1"/>
    <col min="6" max="6" width="1.28515625" style="49" customWidth="1"/>
    <col min="7" max="7" width="13" style="49" customWidth="1"/>
    <col min="8" max="8" width="1.28515625" style="49" customWidth="1"/>
    <col min="9" max="9" width="13" style="49" customWidth="1"/>
    <col min="10" max="10" width="1.28515625" style="49" customWidth="1"/>
    <col min="11" max="11" width="23.42578125" style="49" customWidth="1"/>
    <col min="12" max="12" width="1.28515625" style="49" customWidth="1"/>
    <col min="13" max="13" width="33.7109375" style="49" customWidth="1"/>
    <col min="14" max="14" width="0.28515625" style="49" customWidth="1"/>
    <col min="15" max="16384" width="9.140625" style="49"/>
  </cols>
  <sheetData>
    <row r="1" spans="1:15" ht="25.5">
      <c r="A1" s="129" t="s">
        <v>133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5" ht="25.5">
      <c r="A2" s="129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5" ht="25.5">
      <c r="A3" s="129" t="str">
        <f>سهام!A3</f>
        <v>‫برای ماه منتهی به 31 خرداد  ماه 1405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15" ht="24">
      <c r="A4" s="131" t="s">
        <v>142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</row>
    <row r="5" spans="1:15" ht="24">
      <c r="A5" s="131" t="s">
        <v>141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</row>
    <row r="7" spans="1:15" ht="21">
      <c r="C7" s="132" t="s">
        <v>165</v>
      </c>
      <c r="D7" s="132"/>
      <c r="E7" s="132"/>
      <c r="F7" s="132"/>
      <c r="G7" s="132"/>
      <c r="H7" s="132"/>
      <c r="I7" s="132"/>
      <c r="J7" s="132"/>
      <c r="K7" s="132"/>
      <c r="L7" s="132"/>
      <c r="M7" s="132"/>
    </row>
    <row r="8" spans="1:15" customFormat="1" ht="21">
      <c r="A8" s="17" t="s">
        <v>140</v>
      </c>
      <c r="C8" s="78" t="s">
        <v>5</v>
      </c>
      <c r="D8" s="3"/>
      <c r="E8" s="78" t="s">
        <v>139</v>
      </c>
      <c r="F8" s="3"/>
      <c r="G8" s="78" t="s">
        <v>138</v>
      </c>
      <c r="H8" s="3"/>
      <c r="I8" s="78" t="s">
        <v>137</v>
      </c>
      <c r="J8" s="3"/>
      <c r="K8" s="78" t="s">
        <v>136</v>
      </c>
      <c r="L8" s="3"/>
      <c r="M8" s="78" t="s">
        <v>135</v>
      </c>
    </row>
    <row r="9" spans="1:15" ht="18.75">
      <c r="A9" s="6" t="s">
        <v>128</v>
      </c>
      <c r="C9" s="6">
        <v>63322195</v>
      </c>
      <c r="D9" s="6"/>
      <c r="E9" s="108">
        <v>2604</v>
      </c>
      <c r="F9" s="108"/>
      <c r="G9" s="108">
        <v>1562</v>
      </c>
      <c r="H9" s="6"/>
      <c r="I9" s="96">
        <v>40</v>
      </c>
      <c r="J9" s="6"/>
      <c r="K9" s="32">
        <v>98909268590</v>
      </c>
      <c r="M9" s="19" t="s">
        <v>153</v>
      </c>
      <c r="O9"/>
    </row>
    <row r="10" spans="1:15" ht="19.5" thickBot="1">
      <c r="K10" s="97">
        <f>SUM(K9:K9)</f>
        <v>98909268590</v>
      </c>
    </row>
    <row r="11" spans="1:15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6"/>
  <sheetViews>
    <sheetView rightToLeft="1" view="pageBreakPreview" zoomScaleNormal="100" zoomScaleSheetLayoutView="100" workbookViewId="0">
      <selection activeCell="G27" sqref="G27"/>
    </sheetView>
  </sheetViews>
  <sheetFormatPr defaultRowHeight="12.75"/>
  <cols>
    <col min="1" max="1" width="26" bestFit="1" customWidth="1"/>
    <col min="2" max="2" width="1.28515625" customWidth="1"/>
    <col min="3" max="3" width="15.7109375" bestFit="1" customWidth="1"/>
    <col min="4" max="4" width="1.28515625" customWidth="1"/>
    <col min="5" max="5" width="16.7109375" bestFit="1" customWidth="1"/>
    <col min="6" max="6" width="1.28515625" customWidth="1"/>
    <col min="7" max="7" width="17.7109375" bestFit="1" customWidth="1"/>
    <col min="8" max="8" width="1.28515625" customWidth="1"/>
    <col min="9" max="9" width="15.710937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119" t="str">
        <f>سهام!A1</f>
        <v>صندوق حفظ ارزش دماوند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1" ht="21.75" customHeight="1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ht="21.75" customHeight="1">
      <c r="A3" s="119" t="str">
        <f>سهام!A3</f>
        <v>‫برای ماه منتهی به 31 خرداد  ماه 1405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4.45" customHeight="1"/>
    <row r="5" spans="1:11" ht="14.45" customHeight="1">
      <c r="A5" s="118" t="s">
        <v>114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</row>
    <row r="6" spans="1:11" ht="14.45" customHeight="1">
      <c r="C6" s="2" t="s">
        <v>152</v>
      </c>
      <c r="E6" s="121" t="s">
        <v>1</v>
      </c>
      <c r="F6" s="121"/>
      <c r="G6" s="121"/>
      <c r="I6" s="133" t="s">
        <v>165</v>
      </c>
      <c r="J6" s="133"/>
      <c r="K6" s="133"/>
    </row>
    <row r="7" spans="1:11" ht="14.45" customHeight="1">
      <c r="A7" s="14" t="s">
        <v>47</v>
      </c>
      <c r="C7" s="2" t="s">
        <v>48</v>
      </c>
      <c r="E7" s="2" t="s">
        <v>49</v>
      </c>
      <c r="G7" s="2" t="s">
        <v>50</v>
      </c>
      <c r="I7" s="2" t="s">
        <v>48</v>
      </c>
      <c r="K7" s="2" t="s">
        <v>10</v>
      </c>
    </row>
    <row r="8" spans="1:11" ht="21.75" customHeight="1">
      <c r="A8" s="15" t="s">
        <v>110</v>
      </c>
      <c r="C8" s="86">
        <v>10643649424</v>
      </c>
      <c r="D8" s="86"/>
      <c r="E8" s="86">
        <v>165745027898</v>
      </c>
      <c r="F8" s="86"/>
      <c r="G8" s="86">
        <v>-174829053142</v>
      </c>
      <c r="H8" s="86"/>
      <c r="I8" s="86">
        <f>C8+E8+G8</f>
        <v>1559624180</v>
      </c>
      <c r="J8" s="84"/>
      <c r="K8" s="92">
        <f>I8/1655730029185*100</f>
        <v>9.4195560418004476E-2</v>
      </c>
    </row>
    <row r="9" spans="1:11" ht="21.75" customHeight="1">
      <c r="A9" s="13" t="s">
        <v>111</v>
      </c>
      <c r="C9" s="86">
        <v>95008088</v>
      </c>
      <c r="D9" s="86"/>
      <c r="E9" s="86">
        <v>2150961760</v>
      </c>
      <c r="F9" s="86"/>
      <c r="G9" s="86">
        <v>-2242180200</v>
      </c>
      <c r="H9" s="86"/>
      <c r="I9" s="86">
        <f t="shared" ref="I9:I11" si="0">C9+E9+G9</f>
        <v>3789648</v>
      </c>
      <c r="J9" s="84"/>
      <c r="K9" s="92">
        <f t="shared" ref="K9:K12" si="1">I9/1655730029185*100</f>
        <v>2.2888079174751566E-4</v>
      </c>
    </row>
    <row r="10" spans="1:11" ht="21.75" customHeight="1">
      <c r="A10" s="13" t="s">
        <v>112</v>
      </c>
      <c r="C10" s="86">
        <v>37905873</v>
      </c>
      <c r="D10" s="86"/>
      <c r="E10" s="86">
        <v>21360292</v>
      </c>
      <c r="F10" s="86"/>
      <c r="G10" s="86">
        <v>-1895240</v>
      </c>
      <c r="H10" s="86"/>
      <c r="I10" s="86">
        <f t="shared" si="0"/>
        <v>57370925</v>
      </c>
      <c r="J10" s="84"/>
      <c r="K10" s="92">
        <f t="shared" si="1"/>
        <v>3.4649927215634111E-3</v>
      </c>
    </row>
    <row r="11" spans="1:11" ht="21.75" customHeight="1">
      <c r="A11" s="13" t="s">
        <v>113</v>
      </c>
      <c r="C11" s="86">
        <v>14000000000</v>
      </c>
      <c r="D11" s="86"/>
      <c r="E11" s="86">
        <v>0</v>
      </c>
      <c r="F11" s="86"/>
      <c r="G11" s="86">
        <v>0</v>
      </c>
      <c r="H11" s="86"/>
      <c r="I11" s="86">
        <f t="shared" si="0"/>
        <v>14000000000</v>
      </c>
      <c r="J11" s="84"/>
      <c r="K11" s="92">
        <f t="shared" si="1"/>
        <v>0.8455484742818381</v>
      </c>
    </row>
    <row r="12" spans="1:11" ht="21.75" customHeight="1">
      <c r="A12" s="13" t="s">
        <v>167</v>
      </c>
      <c r="C12" s="86">
        <v>0</v>
      </c>
      <c r="D12" s="86"/>
      <c r="E12" s="86">
        <v>7000000</v>
      </c>
      <c r="F12" s="86"/>
      <c r="G12" s="86">
        <v>-2750000</v>
      </c>
      <c r="H12" s="86"/>
      <c r="I12" s="86">
        <f>C12+E12+G12</f>
        <v>4250000</v>
      </c>
      <c r="J12" s="84"/>
      <c r="K12" s="92">
        <f t="shared" si="1"/>
        <v>2.5668435826412943E-4</v>
      </c>
    </row>
    <row r="13" spans="1:11" ht="21.75" customHeight="1" thickBot="1">
      <c r="A13" s="16"/>
      <c r="C13" s="95">
        <f>SUM(C8:C12)</f>
        <v>24776563385</v>
      </c>
      <c r="D13" s="87"/>
      <c r="E13" s="95">
        <f>SUM(E8:E12)</f>
        <v>167924349950</v>
      </c>
      <c r="F13" s="87"/>
      <c r="G13" s="95">
        <f>SUM(G8:G12)</f>
        <v>-177075878582</v>
      </c>
      <c r="H13" s="87"/>
      <c r="I13" s="95">
        <f>SUM(I8:I12)</f>
        <v>15625034753</v>
      </c>
      <c r="J13" s="84"/>
      <c r="K13" s="99">
        <f>SUM(K8:K12)</f>
        <v>0.94369459257141763</v>
      </c>
    </row>
    <row r="14" spans="1:11" ht="13.5" thickTop="1">
      <c r="E14" s="106"/>
      <c r="G14" s="33"/>
      <c r="I14" s="33"/>
    </row>
    <row r="15" spans="1:11">
      <c r="C15" s="33"/>
      <c r="I15" s="33"/>
    </row>
    <row r="16" spans="1:11">
      <c r="C16" s="106"/>
      <c r="I16" s="33"/>
    </row>
  </sheetData>
  <mergeCells count="6">
    <mergeCell ref="A1:K1"/>
    <mergeCell ref="A2:K2"/>
    <mergeCell ref="A3:K3"/>
    <mergeCell ref="I6:K6"/>
    <mergeCell ref="A5:K5"/>
    <mergeCell ref="E6:G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T16"/>
  <sheetViews>
    <sheetView rightToLeft="1" view="pageBreakPreview" zoomScaleNormal="100" zoomScaleSheetLayoutView="100" workbookViewId="0">
      <selection activeCell="G28" sqref="G28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2" width="16.140625" hidden="1" customWidth="1"/>
    <col min="13" max="13" width="16.42578125" hidden="1" customWidth="1"/>
    <col min="14" max="14" width="15.42578125" bestFit="1" customWidth="1"/>
    <col min="15" max="15" width="13.7109375" bestFit="1" customWidth="1"/>
    <col min="16" max="16" width="15.5703125" bestFit="1" customWidth="1"/>
    <col min="17" max="17" width="16" bestFit="1" customWidth="1"/>
    <col min="18" max="18" width="12.7109375" bestFit="1" customWidth="1"/>
    <col min="19" max="19" width="16" bestFit="1" customWidth="1"/>
    <col min="20" max="20" width="16.140625" bestFit="1" customWidth="1"/>
  </cols>
  <sheetData>
    <row r="1" spans="1:20" ht="29.1" customHeight="1">
      <c r="A1" s="119" t="str">
        <f>سهام!A1</f>
        <v>صندوق حفظ ارزش دماوند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20" ht="21.75" customHeight="1">
      <c r="A2" s="119" t="s">
        <v>51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20" ht="21.75" customHeight="1">
      <c r="A3" s="119" t="str">
        <f>سهام!A3</f>
        <v>‫برای ماه منتهی به 31 خرداد  ماه 1405</v>
      </c>
      <c r="B3" s="119"/>
      <c r="C3" s="119"/>
      <c r="D3" s="119"/>
      <c r="E3" s="119"/>
      <c r="F3" s="119"/>
      <c r="G3" s="119"/>
      <c r="H3" s="119"/>
      <c r="I3" s="119"/>
      <c r="J3" s="119"/>
    </row>
    <row r="4" spans="1:20" ht="14.45" customHeight="1"/>
    <row r="5" spans="1:20" ht="29.1" customHeight="1">
      <c r="A5" s="1" t="s">
        <v>52</v>
      </c>
      <c r="B5" s="136" t="s">
        <v>53</v>
      </c>
      <c r="C5" s="136"/>
      <c r="D5" s="136"/>
      <c r="E5" s="136"/>
      <c r="F5" s="136"/>
      <c r="G5" s="136"/>
      <c r="H5" s="136"/>
      <c r="I5" s="136"/>
      <c r="J5" s="136"/>
    </row>
    <row r="6" spans="1:20" ht="14.45" customHeight="1">
      <c r="M6" s="23"/>
    </row>
    <row r="7" spans="1:20" ht="14.45" customHeight="1">
      <c r="A7" s="121" t="s">
        <v>54</v>
      </c>
      <c r="B7" s="121"/>
      <c r="D7" s="2" t="s">
        <v>55</v>
      </c>
      <c r="F7" s="2" t="s">
        <v>48</v>
      </c>
      <c r="H7" s="2" t="s">
        <v>56</v>
      </c>
      <c r="J7" s="2" t="s">
        <v>57</v>
      </c>
      <c r="M7" s="23"/>
    </row>
    <row r="8" spans="1:20" ht="21.75" customHeight="1">
      <c r="A8" s="134" t="s">
        <v>58</v>
      </c>
      <c r="B8" s="134"/>
      <c r="C8" s="25"/>
      <c r="D8" s="27" t="s">
        <v>59</v>
      </c>
      <c r="E8" s="25"/>
      <c r="F8" s="94">
        <f>'درآمد سرمایه گذاری در سهام'!S47</f>
        <v>793660700078</v>
      </c>
      <c r="G8" s="82"/>
      <c r="H8" s="83">
        <f>F8/$F$12*100</f>
        <v>99.390346651366315</v>
      </c>
      <c r="I8" s="100"/>
      <c r="J8" s="83">
        <f>F8/1655730029185*100</f>
        <v>47.934185289172028</v>
      </c>
      <c r="K8" s="34" t="e">
        <f>'درآمد سرمایه گذاری در سهام'!#REF!</f>
        <v>#REF!</v>
      </c>
      <c r="L8" s="33" t="e">
        <f>'درآمد سرمایه گذاری در سهام'!#REF!</f>
        <v>#REF!</v>
      </c>
      <c r="M8" s="23">
        <f>'درآمد سرمایه گذاری در سهام'!I47</f>
        <v>793660700078</v>
      </c>
      <c r="N8" s="33"/>
      <c r="O8" s="33"/>
      <c r="P8" s="33"/>
      <c r="Q8" s="33"/>
      <c r="R8" s="33"/>
    </row>
    <row r="9" spans="1:20" ht="21.75" customHeight="1">
      <c r="A9" s="135" t="s">
        <v>61</v>
      </c>
      <c r="B9" s="135"/>
      <c r="C9" s="25"/>
      <c r="D9" s="28" t="s">
        <v>60</v>
      </c>
      <c r="E9" s="25"/>
      <c r="F9" s="86">
        <f>'درآمد سرمایه گذاری در اوراق به'!Q12</f>
        <v>3384398135</v>
      </c>
      <c r="G9" s="82"/>
      <c r="H9" s="83">
        <f>F9/$F$12*100</f>
        <v>0.42382910456676126</v>
      </c>
      <c r="I9" s="100"/>
      <c r="J9" s="83">
        <f t="shared" ref="J9:J11" si="0">F9/1655730029185*100</f>
        <v>0.20440519138653918</v>
      </c>
      <c r="K9" s="34">
        <f>'درآمد سرمایه گذاری در اوراق به'!I12</f>
        <v>3384398135</v>
      </c>
      <c r="L9" s="34">
        <f>'درآمد سرمایه گذاری در اوراق به'!I12</f>
        <v>3384398135</v>
      </c>
      <c r="M9" s="23">
        <f>'درآمد سرمایه گذاری در اوراق به'!I12</f>
        <v>3384398135</v>
      </c>
      <c r="N9" s="33"/>
      <c r="O9" s="33"/>
      <c r="P9" s="33"/>
      <c r="Q9" s="80"/>
      <c r="R9" s="34"/>
      <c r="S9" s="33"/>
      <c r="T9" s="34"/>
    </row>
    <row r="10" spans="1:20" ht="21.75" customHeight="1">
      <c r="A10" s="135" t="s">
        <v>63</v>
      </c>
      <c r="B10" s="135"/>
      <c r="C10" s="25"/>
      <c r="D10" s="28" t="s">
        <v>62</v>
      </c>
      <c r="E10" s="25"/>
      <c r="F10" s="86">
        <f>'درآمد سپرده بانکی'!G12</f>
        <v>409203949</v>
      </c>
      <c r="G10" s="82"/>
      <c r="H10" s="83">
        <f t="shared" ref="H10:H11" si="1">F10/$F$12*100</f>
        <v>5.1244722509532006E-2</v>
      </c>
      <c r="I10" s="100"/>
      <c r="J10" s="83">
        <f t="shared" si="0"/>
        <v>2.4714412481932364E-2</v>
      </c>
      <c r="K10" s="33">
        <f>'درآمد سپرده بانکی'!C12</f>
        <v>409203949</v>
      </c>
      <c r="L10" s="33">
        <f>'درآمد سپرده بانکی'!C12</f>
        <v>409203949</v>
      </c>
      <c r="M10" s="23">
        <f>'درآمد سپرده بانکی'!C12</f>
        <v>409203949</v>
      </c>
      <c r="N10" s="33"/>
    </row>
    <row r="11" spans="1:20" ht="21.75" customHeight="1">
      <c r="A11" s="135" t="s">
        <v>65</v>
      </c>
      <c r="B11" s="135"/>
      <c r="C11" s="25"/>
      <c r="D11" s="28" t="s">
        <v>64</v>
      </c>
      <c r="E11" s="25"/>
      <c r="F11" s="86">
        <f>'سایر درآمدها'!E11</f>
        <v>1074656452</v>
      </c>
      <c r="G11" s="82"/>
      <c r="H11" s="83">
        <f t="shared" si="1"/>
        <v>0.13457952155739875</v>
      </c>
      <c r="I11" s="100"/>
      <c r="J11" s="83">
        <f t="shared" si="0"/>
        <v>6.4905294526123813E-2</v>
      </c>
      <c r="K11" s="33">
        <f>'سایر درآمدها'!C11</f>
        <v>1074656452</v>
      </c>
      <c r="L11" s="33">
        <f>'سایر درآمدها'!C11</f>
        <v>1074656452</v>
      </c>
      <c r="M11" s="23">
        <f>'سایر درآمدها'!C11</f>
        <v>1074656452</v>
      </c>
      <c r="N11" s="33"/>
    </row>
    <row r="12" spans="1:20" ht="21.75" customHeight="1" thickBot="1">
      <c r="A12" s="29"/>
      <c r="B12" s="29"/>
      <c r="C12" s="25"/>
      <c r="D12" s="19"/>
      <c r="E12" s="25"/>
      <c r="F12" s="95">
        <f>SUM(F8:F11)</f>
        <v>798528958614</v>
      </c>
      <c r="G12" s="82"/>
      <c r="H12" s="93">
        <f>SUM(H8:H11)</f>
        <v>100.00000000000001</v>
      </c>
      <c r="I12" s="100"/>
      <c r="J12" s="93">
        <f>SUM(J8:J11)</f>
        <v>48.228210187566624</v>
      </c>
      <c r="K12" s="34" t="e">
        <f>SUM(K8:K11)</f>
        <v>#REF!</v>
      </c>
      <c r="L12" s="33" t="e">
        <f>SUM(L8:L11)</f>
        <v>#REF!</v>
      </c>
      <c r="M12" s="23">
        <f>SUM(M8:M11)</f>
        <v>798528958614</v>
      </c>
      <c r="N12" s="33"/>
    </row>
    <row r="13" spans="1:20" ht="19.5" thickTop="1">
      <c r="F13" s="33"/>
      <c r="M13" s="23"/>
    </row>
    <row r="14" spans="1:20" ht="18.75">
      <c r="F14" s="34"/>
      <c r="K14" s="33">
        <v>356528053029</v>
      </c>
      <c r="L14" s="33"/>
      <c r="M14" s="23">
        <v>-39899696555</v>
      </c>
      <c r="N14" s="33"/>
    </row>
    <row r="15" spans="1:20">
      <c r="F15" s="34"/>
      <c r="K15" s="34" t="e">
        <f>K12-K14</f>
        <v>#REF!</v>
      </c>
      <c r="L15" s="33"/>
      <c r="M15" s="34">
        <f>M12-M14</f>
        <v>838428655169</v>
      </c>
      <c r="N15" s="33"/>
    </row>
    <row r="16" spans="1:20">
      <c r="F16" s="34"/>
      <c r="N16" s="33"/>
    </row>
  </sheetData>
  <mergeCells count="9"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2C99-9987-4441-80ED-6C58E576C23D}">
  <sheetPr>
    <tabColor rgb="FF92D050"/>
    <pageSetUpPr fitToPage="1"/>
  </sheetPr>
  <dimension ref="A1:U53"/>
  <sheetViews>
    <sheetView rightToLeft="1" view="pageBreakPreview" zoomScaleNormal="100" zoomScaleSheetLayoutView="100" workbookViewId="0">
      <selection activeCell="K64" sqref="K64"/>
    </sheetView>
  </sheetViews>
  <sheetFormatPr defaultRowHeight="12.75"/>
  <cols>
    <col min="1" max="1" width="34" style="49" customWidth="1"/>
    <col min="2" max="2" width="1.28515625" style="49" customWidth="1"/>
    <col min="3" max="3" width="15.7109375" style="54" bestFit="1" customWidth="1"/>
    <col min="4" max="4" width="1.28515625" style="54" customWidth="1"/>
    <col min="5" max="5" width="17.5703125" style="54" bestFit="1" customWidth="1"/>
    <col min="6" max="6" width="1.28515625" style="54" customWidth="1"/>
    <col min="7" max="7" width="19.42578125" style="54" bestFit="1" customWidth="1"/>
    <col min="8" max="8" width="1.28515625" style="54" customWidth="1"/>
    <col min="9" max="9" width="17.7109375" style="54" bestFit="1" customWidth="1"/>
    <col min="10" max="10" width="1.28515625" style="54" customWidth="1"/>
    <col min="11" max="11" width="17.5703125" style="54" bestFit="1" customWidth="1"/>
    <col min="12" max="12" width="1.28515625" style="54" customWidth="1"/>
    <col min="13" max="13" width="15.85546875" style="54" bestFit="1" customWidth="1"/>
    <col min="14" max="14" width="1.28515625" style="54" customWidth="1"/>
    <col min="15" max="15" width="17.5703125" style="54" bestFit="1" customWidth="1"/>
    <col min="16" max="16" width="1.28515625" style="54" customWidth="1"/>
    <col min="17" max="17" width="17.5703125" style="54" bestFit="1" customWidth="1"/>
    <col min="18" max="18" width="1.28515625" style="54" customWidth="1"/>
    <col min="19" max="19" width="17.5703125" style="54" bestFit="1" customWidth="1"/>
    <col min="20" max="20" width="1.28515625" style="54" customWidth="1"/>
    <col min="21" max="21" width="17.42578125" style="54" bestFit="1" customWidth="1"/>
    <col min="22" max="16384" width="9.140625" style="49"/>
  </cols>
  <sheetData>
    <row r="1" spans="1:21" ht="29.1" customHeight="1">
      <c r="A1" s="129" t="str">
        <f>سهام!A1</f>
        <v>صندوق حفظ ارزش دماوند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</row>
    <row r="2" spans="1:21" ht="21.75" customHeight="1">
      <c r="A2" s="129" t="s">
        <v>51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</row>
    <row r="3" spans="1:21" ht="21.75" customHeight="1">
      <c r="A3" s="129" t="str">
        <f>سهام!A3</f>
        <v>‫برای ماه منتهی به 31 خرداد  ماه 1405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</row>
    <row r="4" spans="1:21" ht="14.45" customHeight="1"/>
    <row r="5" spans="1:21" ht="14.45" customHeight="1">
      <c r="A5" s="138" t="s">
        <v>115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</row>
    <row r="6" spans="1:21" ht="14.45" customHeight="1">
      <c r="C6" s="132" t="s">
        <v>66</v>
      </c>
      <c r="D6" s="132"/>
      <c r="E6" s="132"/>
      <c r="F6" s="132"/>
      <c r="G6" s="132"/>
      <c r="H6" s="132"/>
      <c r="I6" s="132"/>
      <c r="J6" s="132"/>
      <c r="K6" s="132"/>
      <c r="M6" s="132" t="s">
        <v>67</v>
      </c>
      <c r="N6" s="132"/>
      <c r="O6" s="132"/>
      <c r="P6" s="132"/>
      <c r="Q6" s="132"/>
      <c r="R6" s="132"/>
      <c r="S6" s="132"/>
      <c r="T6" s="132"/>
      <c r="U6" s="132"/>
    </row>
    <row r="7" spans="1:21" ht="14.45" customHeight="1">
      <c r="C7" s="64"/>
      <c r="D7" s="64"/>
      <c r="E7" s="64"/>
      <c r="F7" s="64"/>
      <c r="G7" s="64"/>
      <c r="H7" s="64"/>
      <c r="I7" s="137" t="s">
        <v>26</v>
      </c>
      <c r="J7" s="137"/>
      <c r="K7" s="137"/>
      <c r="M7" s="64"/>
      <c r="N7" s="64"/>
      <c r="O7" s="64"/>
      <c r="P7" s="64"/>
      <c r="Q7" s="64"/>
      <c r="R7" s="64"/>
      <c r="S7" s="137" t="s">
        <v>26</v>
      </c>
      <c r="T7" s="137"/>
      <c r="U7" s="137"/>
    </row>
    <row r="8" spans="1:21" ht="14.45" customHeight="1">
      <c r="A8" s="65" t="s">
        <v>68</v>
      </c>
      <c r="B8" s="63"/>
      <c r="C8" s="52" t="s">
        <v>69</v>
      </c>
      <c r="E8" s="52" t="s">
        <v>70</v>
      </c>
      <c r="G8" s="52" t="s">
        <v>71</v>
      </c>
      <c r="I8" s="51" t="s">
        <v>48</v>
      </c>
      <c r="J8" s="64"/>
      <c r="K8" s="51" t="s">
        <v>56</v>
      </c>
      <c r="M8" s="52" t="s">
        <v>69</v>
      </c>
      <c r="O8" s="52" t="s">
        <v>70</v>
      </c>
      <c r="Q8" s="52" t="s">
        <v>71</v>
      </c>
      <c r="S8" s="51" t="s">
        <v>48</v>
      </c>
      <c r="T8" s="64"/>
      <c r="U8" s="51" t="s">
        <v>56</v>
      </c>
    </row>
    <row r="9" spans="1:21" ht="18.75">
      <c r="A9" s="55" t="s">
        <v>149</v>
      </c>
      <c r="C9" s="109">
        <f>IFERROR(VLOOKUP(A9,'درآمد سود سهام'!A:S,9,0),0)</f>
        <v>3464000000</v>
      </c>
      <c r="D9" s="109"/>
      <c r="E9" s="109">
        <f>IFERROR(VLOOKUP(A9,'درآمد ناشی از تغییر قیمت اوراق'!A:Q,9,0),0)</f>
        <v>10836580670</v>
      </c>
      <c r="F9" s="109"/>
      <c r="G9" s="109">
        <f>IFERROR(VLOOKUP(A9,'درآمد ناشی از فروش'!A:Q,9,0),0)</f>
        <v>0</v>
      </c>
      <c r="H9" s="109"/>
      <c r="I9" s="109">
        <f>C9+E9+G9</f>
        <v>14300580670</v>
      </c>
      <c r="J9" s="61"/>
      <c r="K9" s="62">
        <f>I9/798528958614*100</f>
        <v>1.7908656305741746</v>
      </c>
      <c r="L9" s="61"/>
      <c r="M9" s="109">
        <f>IFERROR(VLOOKUP(A9,'درآمد سود سهام'!A:S,15,0),0)</f>
        <v>3464000000</v>
      </c>
      <c r="N9" s="109"/>
      <c r="O9" s="109">
        <f>IFERROR(VLOOKUP(A9,'درآمد ناشی از تغییر قیمت اوراق'!A:Q,17,0),0)</f>
        <v>10836580670</v>
      </c>
      <c r="P9" s="109"/>
      <c r="Q9" s="109">
        <f>IFERROR(VLOOKUP(A9,'درآمد ناشی از فروش'!A:Q,17,0),0)</f>
        <v>0</v>
      </c>
      <c r="R9" s="109"/>
      <c r="S9" s="109">
        <f>M9+O9+Q9</f>
        <v>14300580670</v>
      </c>
      <c r="U9" s="62">
        <f>S9/درآمد!$F$12*100</f>
        <v>1.7908656305741746</v>
      </c>
    </row>
    <row r="10" spans="1:21" ht="18.75">
      <c r="A10" s="55" t="s">
        <v>11</v>
      </c>
      <c r="C10" s="109">
        <f>IFERROR(VLOOKUP(A10,'درآمد سود سهام'!A:S,9,0),0)</f>
        <v>0</v>
      </c>
      <c r="D10" s="109"/>
      <c r="E10" s="109">
        <f>IFERROR(VLOOKUP(A10,'درآمد ناشی از تغییر قیمت اوراق'!A:Q,9,0),0)</f>
        <v>36045232489</v>
      </c>
      <c r="F10" s="109"/>
      <c r="G10" s="109">
        <f>IFERROR(VLOOKUP(A10,'درآمد ناشی از فروش'!A:Q,9,0),0)</f>
        <v>1398754863</v>
      </c>
      <c r="H10" s="109"/>
      <c r="I10" s="109">
        <f>C10+E10+G10</f>
        <v>37443987352</v>
      </c>
      <c r="J10" s="61"/>
      <c r="K10" s="62">
        <f t="shared" ref="K10:K46" si="0">I10/798528958614*100</f>
        <v>4.6891207824186134</v>
      </c>
      <c r="L10" s="61"/>
      <c r="M10" s="109">
        <f>IFERROR(VLOOKUP(A10,'درآمد سود سهام'!A:S,15,0),0)</f>
        <v>0</v>
      </c>
      <c r="N10" s="109"/>
      <c r="O10" s="109">
        <f>IFERROR(VLOOKUP(A10,'درآمد ناشی از تغییر قیمت اوراق'!A:Q,17,0),0)</f>
        <v>36045232489</v>
      </c>
      <c r="P10" s="109"/>
      <c r="Q10" s="109">
        <f>IFERROR(VLOOKUP(A10,'درآمد ناشی از فروش'!A:Q,17,0),0)</f>
        <v>1398754863</v>
      </c>
      <c r="R10" s="109"/>
      <c r="S10" s="109">
        <f>M10+O10+Q10</f>
        <v>37443987352</v>
      </c>
      <c r="U10" s="62">
        <f>S10/درآمد!$F$12*100</f>
        <v>4.6891207824186134</v>
      </c>
    </row>
    <row r="11" spans="1:21" ht="18.75">
      <c r="A11" s="55" t="s">
        <v>18</v>
      </c>
      <c r="C11" s="109">
        <f>IFERROR(VLOOKUP(A11,'درآمد سود سهام'!A:S,9,0),0)</f>
        <v>0</v>
      </c>
      <c r="D11" s="109"/>
      <c r="E11" s="109">
        <f>IFERROR(VLOOKUP(A11,'درآمد ناشی از تغییر قیمت اوراق'!A:Q,9,0),0)</f>
        <v>0</v>
      </c>
      <c r="F11" s="109"/>
      <c r="G11" s="109">
        <f>IFERROR(VLOOKUP(A11,'درآمد ناشی از فروش'!A:Q,9,0),0)</f>
        <v>30349765224</v>
      </c>
      <c r="H11" s="109"/>
      <c r="I11" s="109">
        <f t="shared" ref="I11:I46" si="1">C11+E11+G11</f>
        <v>30349765224</v>
      </c>
      <c r="J11" s="61"/>
      <c r="K11" s="62">
        <f t="shared" si="0"/>
        <v>3.8007094040368719</v>
      </c>
      <c r="L11" s="61"/>
      <c r="M11" s="109">
        <f>IFERROR(VLOOKUP(A11,'درآمد سود سهام'!A:S,15,0),0)</f>
        <v>0</v>
      </c>
      <c r="N11" s="109"/>
      <c r="O11" s="109">
        <f>IFERROR(VLOOKUP(A11,'درآمد ناشی از تغییر قیمت اوراق'!A:Q,17,0),0)</f>
        <v>0</v>
      </c>
      <c r="P11" s="109"/>
      <c r="Q11" s="109">
        <f>IFERROR(VLOOKUP(A11,'درآمد ناشی از فروش'!A:Q,17,0),0)</f>
        <v>30349765224</v>
      </c>
      <c r="R11" s="109"/>
      <c r="S11" s="109">
        <f t="shared" ref="S11:S46" si="2">M11+O11+Q11</f>
        <v>30349765224</v>
      </c>
      <c r="U11" s="62">
        <f>S11/درآمد!$F$12*100</f>
        <v>3.8007094040368719</v>
      </c>
    </row>
    <row r="12" spans="1:21" ht="18.75">
      <c r="A12" s="55" t="s">
        <v>163</v>
      </c>
      <c r="C12" s="109">
        <f>IFERROR(VLOOKUP(A12,'درآمد سود سهام'!A:S,9,0),0)</f>
        <v>0</v>
      </c>
      <c r="D12" s="109"/>
      <c r="E12" s="109">
        <f>IFERROR(VLOOKUP(A12,'درآمد ناشی از تغییر قیمت اوراق'!A:Q,9,0),0)</f>
        <v>1027391134</v>
      </c>
      <c r="F12" s="109"/>
      <c r="G12" s="109">
        <f>IFERROR(VLOOKUP(A12,'درآمد ناشی از فروش'!A:Q,9,0),0)</f>
        <v>1490868160</v>
      </c>
      <c r="H12" s="109"/>
      <c r="I12" s="109">
        <f t="shared" si="1"/>
        <v>2518259294</v>
      </c>
      <c r="J12" s="61"/>
      <c r="K12" s="62">
        <f t="shared" si="0"/>
        <v>0.31536230049451447</v>
      </c>
      <c r="L12" s="61"/>
      <c r="M12" s="109">
        <f>IFERROR(VLOOKUP(A12,'درآمد سود سهام'!A:S,15,0),0)</f>
        <v>0</v>
      </c>
      <c r="N12" s="109"/>
      <c r="O12" s="109">
        <f>IFERROR(VLOOKUP(A12,'درآمد ناشی از تغییر قیمت اوراق'!A:Q,17,0),0)</f>
        <v>1027391134</v>
      </c>
      <c r="P12" s="109"/>
      <c r="Q12" s="109">
        <f>IFERROR(VLOOKUP(A12,'درآمد ناشی از فروش'!A:Q,17,0),0)</f>
        <v>1490868160</v>
      </c>
      <c r="R12" s="109"/>
      <c r="S12" s="109">
        <f t="shared" si="2"/>
        <v>2518259294</v>
      </c>
      <c r="U12" s="62">
        <f>S12/درآمد!$F$12*100</f>
        <v>0.31536230049451447</v>
      </c>
    </row>
    <row r="13" spans="1:21" ht="18.75">
      <c r="A13" s="55" t="s">
        <v>144</v>
      </c>
      <c r="C13" s="109">
        <f>IFERROR(VLOOKUP(A13,'درآمد سود سهام'!A:S,9,0),0)</f>
        <v>0</v>
      </c>
      <c r="D13" s="109"/>
      <c r="E13" s="109">
        <f>IFERROR(VLOOKUP(A13,'درآمد ناشی از تغییر قیمت اوراق'!A:Q,9,0),0)</f>
        <v>0</v>
      </c>
      <c r="F13" s="109"/>
      <c r="G13" s="109">
        <f>IFERROR(VLOOKUP(A13,'درآمد ناشی از فروش'!A:Q,9,0),0)</f>
        <v>5650066390</v>
      </c>
      <c r="H13" s="109"/>
      <c r="I13" s="109">
        <f t="shared" si="1"/>
        <v>5650066390</v>
      </c>
      <c r="J13" s="61"/>
      <c r="K13" s="62">
        <f t="shared" si="0"/>
        <v>0.70755936012724852</v>
      </c>
      <c r="L13" s="61"/>
      <c r="M13" s="109">
        <f>IFERROR(VLOOKUP(A13,'درآمد سود سهام'!A:S,15,0),0)</f>
        <v>0</v>
      </c>
      <c r="N13" s="109"/>
      <c r="O13" s="109">
        <f>IFERROR(VLOOKUP(A13,'درآمد ناشی از تغییر قیمت اوراق'!A:Q,17,0),0)</f>
        <v>0</v>
      </c>
      <c r="P13" s="109"/>
      <c r="Q13" s="109">
        <f>IFERROR(VLOOKUP(A13,'درآمد ناشی از فروش'!A:Q,17,0),0)</f>
        <v>5650066390</v>
      </c>
      <c r="R13" s="109"/>
      <c r="S13" s="109">
        <f t="shared" si="2"/>
        <v>5650066390</v>
      </c>
      <c r="U13" s="62">
        <f>S13/درآمد!$F$12*100</f>
        <v>0.70755936012724852</v>
      </c>
    </row>
    <row r="14" spans="1:21" ht="18.75">
      <c r="A14" s="55" t="s">
        <v>131</v>
      </c>
      <c r="C14" s="109">
        <f>IFERROR(VLOOKUP(A14,'درآمد سود سهام'!A:S,9,0),0)</f>
        <v>10070000000</v>
      </c>
      <c r="D14" s="109"/>
      <c r="E14" s="109">
        <f>IFERROR(VLOOKUP(A14,'درآمد ناشی از تغییر قیمت اوراق'!A:Q,9,0),0)</f>
        <v>144484359077</v>
      </c>
      <c r="F14" s="109"/>
      <c r="G14" s="109">
        <f>IFERROR(VLOOKUP(A14,'درآمد ناشی از فروش'!A:Q,9,0),0)</f>
        <v>1616380145</v>
      </c>
      <c r="H14" s="109"/>
      <c r="I14" s="109">
        <f t="shared" si="1"/>
        <v>156170739222</v>
      </c>
      <c r="J14" s="61"/>
      <c r="K14" s="62">
        <f t="shared" si="0"/>
        <v>19.557304407978421</v>
      </c>
      <c r="L14" s="61"/>
      <c r="M14" s="109">
        <f>IFERROR(VLOOKUP(A14,'درآمد سود سهام'!A:S,15,0),0)</f>
        <v>10070000000</v>
      </c>
      <c r="N14" s="109"/>
      <c r="O14" s="109">
        <f>IFERROR(VLOOKUP(A14,'درآمد ناشی از تغییر قیمت اوراق'!A:Q,17,0),0)</f>
        <v>144484359077</v>
      </c>
      <c r="P14" s="109"/>
      <c r="Q14" s="109">
        <f>IFERROR(VLOOKUP(A14,'درآمد ناشی از فروش'!A:Q,17,0),0)</f>
        <v>1616380145</v>
      </c>
      <c r="R14" s="109"/>
      <c r="S14" s="109">
        <f t="shared" si="2"/>
        <v>156170739222</v>
      </c>
      <c r="U14" s="62">
        <f>S14/درآمد!$F$12*100</f>
        <v>19.557304407978421</v>
      </c>
    </row>
    <row r="15" spans="1:21" ht="18.75">
      <c r="A15" s="55" t="s">
        <v>160</v>
      </c>
      <c r="C15" s="109">
        <f>IFERROR(VLOOKUP(A15,'درآمد سود سهام'!A:S,9,0),0)</f>
        <v>0</v>
      </c>
      <c r="D15" s="109"/>
      <c r="E15" s="109">
        <f>IFERROR(VLOOKUP(A15,'درآمد ناشی از تغییر قیمت اوراق'!A:Q,9,0),0)</f>
        <v>0</v>
      </c>
      <c r="F15" s="109"/>
      <c r="G15" s="109">
        <f>IFERROR(VLOOKUP(A15,'درآمد ناشی از فروش'!A:Q,9,0),0)</f>
        <v>2743512558</v>
      </c>
      <c r="H15" s="109"/>
      <c r="I15" s="109">
        <f t="shared" si="1"/>
        <v>2743512558</v>
      </c>
      <c r="J15" s="61"/>
      <c r="K15" s="62">
        <f t="shared" si="0"/>
        <v>0.34357082838446984</v>
      </c>
      <c r="L15" s="61"/>
      <c r="M15" s="109">
        <f>IFERROR(VLOOKUP(A15,'درآمد سود سهام'!A:S,15,0),0)</f>
        <v>0</v>
      </c>
      <c r="N15" s="109"/>
      <c r="O15" s="109">
        <f>IFERROR(VLOOKUP(A15,'درآمد ناشی از تغییر قیمت اوراق'!A:Q,17,0),0)</f>
        <v>0</v>
      </c>
      <c r="P15" s="109"/>
      <c r="Q15" s="109">
        <f>IFERROR(VLOOKUP(A15,'درآمد ناشی از فروش'!A:Q,17,0),0)</f>
        <v>2743512558</v>
      </c>
      <c r="R15" s="109"/>
      <c r="S15" s="109">
        <f t="shared" si="2"/>
        <v>2743512558</v>
      </c>
      <c r="U15" s="62">
        <f>S15/درآمد!$F$12*100</f>
        <v>0.34357082838446984</v>
      </c>
    </row>
    <row r="16" spans="1:21" ht="18.75">
      <c r="A16" s="55" t="s">
        <v>25</v>
      </c>
      <c r="C16" s="109">
        <f>IFERROR(VLOOKUP(A16,'درآمد سود سهام'!A:S,9,0),0)</f>
        <v>0</v>
      </c>
      <c r="D16" s="109"/>
      <c r="E16" s="109">
        <f>IFERROR(VLOOKUP(A16,'درآمد ناشی از تغییر قیمت اوراق'!A:Q,9,0),0)</f>
        <v>0</v>
      </c>
      <c r="F16" s="109"/>
      <c r="G16" s="109">
        <f>IFERROR(VLOOKUP(A16,'درآمد ناشی از فروش'!A:Q,9,0),0)</f>
        <v>1393595470</v>
      </c>
      <c r="H16" s="109"/>
      <c r="I16" s="109">
        <f t="shared" si="1"/>
        <v>1393595470</v>
      </c>
      <c r="J16" s="61"/>
      <c r="K16" s="62">
        <f t="shared" si="0"/>
        <v>0.17452034205733152</v>
      </c>
      <c r="L16" s="61"/>
      <c r="M16" s="109">
        <f>IFERROR(VLOOKUP(A16,'درآمد سود سهام'!A:S,15,0),0)</f>
        <v>0</v>
      </c>
      <c r="N16" s="109"/>
      <c r="O16" s="109">
        <f>IFERROR(VLOOKUP(A16,'درآمد ناشی از تغییر قیمت اوراق'!A:Q,17,0),0)</f>
        <v>0</v>
      </c>
      <c r="P16" s="109"/>
      <c r="Q16" s="109">
        <f>IFERROR(VLOOKUP(A16,'درآمد ناشی از فروش'!A:Q,17,0),0)</f>
        <v>1393595470</v>
      </c>
      <c r="R16" s="109"/>
      <c r="S16" s="109">
        <f t="shared" si="2"/>
        <v>1393595470</v>
      </c>
      <c r="U16" s="62">
        <f>S16/درآمد!$F$12*100</f>
        <v>0.17452034205733152</v>
      </c>
    </row>
    <row r="17" spans="1:21" ht="18.75">
      <c r="A17" s="55" t="s">
        <v>15</v>
      </c>
      <c r="C17" s="109">
        <f>IFERROR(VLOOKUP(A17,'درآمد سود سهام'!A:S,9,0),0)</f>
        <v>0</v>
      </c>
      <c r="D17" s="109"/>
      <c r="E17" s="109">
        <f>IFERROR(VLOOKUP(A17,'درآمد ناشی از تغییر قیمت اوراق'!A:Q,9,0),0)</f>
        <v>86805144645</v>
      </c>
      <c r="F17" s="109"/>
      <c r="G17" s="109">
        <f>IFERROR(VLOOKUP(A17,'درآمد ناشی از فروش'!A:Q,9,0),0)</f>
        <v>22642787934</v>
      </c>
      <c r="H17" s="109"/>
      <c r="I17" s="109">
        <f t="shared" si="1"/>
        <v>109447932579</v>
      </c>
      <c r="J17" s="61"/>
      <c r="K17" s="62">
        <f t="shared" si="0"/>
        <v>13.70619454665337</v>
      </c>
      <c r="L17" s="61"/>
      <c r="M17" s="109">
        <f>IFERROR(VLOOKUP(A17,'درآمد سود سهام'!A:S,15,0),0)</f>
        <v>0</v>
      </c>
      <c r="N17" s="109"/>
      <c r="O17" s="109">
        <f>IFERROR(VLOOKUP(A17,'درآمد ناشی از تغییر قیمت اوراق'!A:Q,17,0),0)</f>
        <v>86805144645</v>
      </c>
      <c r="P17" s="109"/>
      <c r="Q17" s="109">
        <f>IFERROR(VLOOKUP(A17,'درآمد ناشی از فروش'!A:Q,17,0),0)</f>
        <v>22642787934</v>
      </c>
      <c r="R17" s="109"/>
      <c r="S17" s="109">
        <f t="shared" si="2"/>
        <v>109447932579</v>
      </c>
      <c r="U17" s="62">
        <f>S17/درآمد!$F$12*100</f>
        <v>13.70619454665337</v>
      </c>
    </row>
    <row r="18" spans="1:21" ht="18.75">
      <c r="A18" s="55" t="s">
        <v>151</v>
      </c>
      <c r="C18" s="109">
        <f>IFERROR(VLOOKUP(A18,'درآمد سود سهام'!A:S,9,0),0)</f>
        <v>0</v>
      </c>
      <c r="D18" s="109"/>
      <c r="E18" s="109">
        <f>IFERROR(VLOOKUP(A18,'درآمد ناشی از تغییر قیمت اوراق'!A:Q,9,0),0)</f>
        <v>0</v>
      </c>
      <c r="F18" s="109"/>
      <c r="G18" s="109">
        <f>IFERROR(VLOOKUP(A18,'درآمد ناشی از فروش'!A:Q,9,0),0)</f>
        <v>7881823039</v>
      </c>
      <c r="H18" s="109"/>
      <c r="I18" s="109">
        <f t="shared" si="1"/>
        <v>7881823039</v>
      </c>
      <c r="J18" s="61"/>
      <c r="K18" s="62">
        <f t="shared" si="0"/>
        <v>0.98704285598864361</v>
      </c>
      <c r="L18" s="61"/>
      <c r="M18" s="109">
        <f>IFERROR(VLOOKUP(A18,'درآمد سود سهام'!A:S,15,0),0)</f>
        <v>0</v>
      </c>
      <c r="N18" s="109"/>
      <c r="O18" s="109">
        <f>IFERROR(VLOOKUP(A18,'درآمد ناشی از تغییر قیمت اوراق'!A:Q,17,0),0)</f>
        <v>0</v>
      </c>
      <c r="P18" s="109"/>
      <c r="Q18" s="109">
        <f>IFERROR(VLOOKUP(A18,'درآمد ناشی از فروش'!A:Q,17,0),0)</f>
        <v>7881823039</v>
      </c>
      <c r="R18" s="109"/>
      <c r="S18" s="109">
        <f t="shared" si="2"/>
        <v>7881823039</v>
      </c>
      <c r="U18" s="62">
        <f>S18/درآمد!$F$12*100</f>
        <v>0.98704285598864361</v>
      </c>
    </row>
    <row r="19" spans="1:21" ht="18.75">
      <c r="A19" s="55" t="s">
        <v>129</v>
      </c>
      <c r="B19" s="63"/>
      <c r="C19" s="109">
        <f>IFERROR(VLOOKUP(A19,'درآمد سود سهام'!A:S,9,0),0)</f>
        <v>0</v>
      </c>
      <c r="D19" s="109"/>
      <c r="E19" s="109">
        <f>IFERROR(VLOOKUP(A19,'درآمد ناشی از تغییر قیمت اوراق'!A:Q,9,0),0)</f>
        <v>0</v>
      </c>
      <c r="F19" s="109"/>
      <c r="G19" s="109">
        <f>IFERROR(VLOOKUP(A19,'درآمد ناشی از فروش'!A:Q,9,0),0)</f>
        <v>9776290710</v>
      </c>
      <c r="H19" s="109"/>
      <c r="I19" s="109">
        <f t="shared" si="1"/>
        <v>9776290710</v>
      </c>
      <c r="J19" s="61"/>
      <c r="K19" s="62">
        <f t="shared" si="0"/>
        <v>1.2242875608379471</v>
      </c>
      <c r="L19" s="61"/>
      <c r="M19" s="109">
        <f>IFERROR(VLOOKUP(A19,'درآمد سود سهام'!A:S,15,0),0)</f>
        <v>0</v>
      </c>
      <c r="N19" s="109"/>
      <c r="O19" s="109">
        <f>IFERROR(VLOOKUP(A19,'درآمد ناشی از تغییر قیمت اوراق'!A:Q,17,0),0)</f>
        <v>0</v>
      </c>
      <c r="P19" s="109"/>
      <c r="Q19" s="109">
        <f>IFERROR(VLOOKUP(A19,'درآمد ناشی از فروش'!A:Q,17,0),0)</f>
        <v>9776290710</v>
      </c>
      <c r="R19" s="109"/>
      <c r="S19" s="109">
        <f t="shared" si="2"/>
        <v>9776290710</v>
      </c>
      <c r="U19" s="62">
        <f>S19/درآمد!$F$12*100</f>
        <v>1.2242875608379471</v>
      </c>
    </row>
    <row r="20" spans="1:21" ht="18.75">
      <c r="A20" s="55" t="s">
        <v>147</v>
      </c>
      <c r="B20" s="63"/>
      <c r="C20" s="109">
        <f>IFERROR(VLOOKUP(A20,'درآمد سود سهام'!A:S,9,0),0)</f>
        <v>0</v>
      </c>
      <c r="D20" s="109"/>
      <c r="E20" s="109">
        <f>IFERROR(VLOOKUP(A20,'درآمد ناشی از تغییر قیمت اوراق'!A:Q,9,0),0)</f>
        <v>0</v>
      </c>
      <c r="F20" s="109"/>
      <c r="G20" s="109">
        <f>IFERROR(VLOOKUP(A20,'درآمد ناشی از فروش'!A:Q,9,0),0)</f>
        <v>8172450482</v>
      </c>
      <c r="H20" s="109"/>
      <c r="I20" s="109">
        <f t="shared" si="1"/>
        <v>8172450482</v>
      </c>
      <c r="J20" s="61"/>
      <c r="K20" s="62">
        <f t="shared" si="0"/>
        <v>1.0234382102040298</v>
      </c>
      <c r="L20" s="61"/>
      <c r="M20" s="109">
        <f>IFERROR(VLOOKUP(A20,'درآمد سود سهام'!A:S,15,0),0)</f>
        <v>0</v>
      </c>
      <c r="N20" s="109"/>
      <c r="O20" s="109">
        <f>IFERROR(VLOOKUP(A20,'درآمد ناشی از تغییر قیمت اوراق'!A:Q,17,0),0)</f>
        <v>0</v>
      </c>
      <c r="P20" s="109"/>
      <c r="Q20" s="109">
        <f>IFERROR(VLOOKUP(A20,'درآمد ناشی از فروش'!A:Q,17,0),0)</f>
        <v>8172450482</v>
      </c>
      <c r="R20" s="109"/>
      <c r="S20" s="109">
        <f t="shared" si="2"/>
        <v>8172450482</v>
      </c>
      <c r="U20" s="62">
        <f>S20/درآمد!$F$12*100</f>
        <v>1.0234382102040298</v>
      </c>
    </row>
    <row r="21" spans="1:21" ht="18.75">
      <c r="A21" s="55" t="s">
        <v>130</v>
      </c>
      <c r="C21" s="109">
        <f>IFERROR(VLOOKUP(A21,'درآمد سود سهام'!A:S,9,0),0)</f>
        <v>0</v>
      </c>
      <c r="D21" s="109"/>
      <c r="E21" s="109">
        <f>IFERROR(VLOOKUP(A21,'درآمد ناشی از تغییر قیمت اوراق'!A:Q,9,0),0)</f>
        <v>0</v>
      </c>
      <c r="F21" s="109"/>
      <c r="G21" s="109">
        <f>IFERROR(VLOOKUP(A21,'درآمد ناشی از فروش'!A:Q,9,0),0)</f>
        <v>13895935485</v>
      </c>
      <c r="H21" s="109"/>
      <c r="I21" s="109">
        <f t="shared" si="1"/>
        <v>13895935485</v>
      </c>
      <c r="J21" s="61"/>
      <c r="K21" s="62">
        <f t="shared" si="0"/>
        <v>1.7401918033278416</v>
      </c>
      <c r="L21" s="61"/>
      <c r="M21" s="109">
        <f>IFERROR(VLOOKUP(A21,'درآمد سود سهام'!A:S,15,0),0)</f>
        <v>0</v>
      </c>
      <c r="N21" s="109"/>
      <c r="O21" s="109">
        <f>IFERROR(VLOOKUP(A21,'درآمد ناشی از تغییر قیمت اوراق'!A:Q,17,0),0)</f>
        <v>0</v>
      </c>
      <c r="P21" s="109"/>
      <c r="Q21" s="109">
        <f>IFERROR(VLOOKUP(A21,'درآمد ناشی از فروش'!A:Q,17,0),0)</f>
        <v>13895935485</v>
      </c>
      <c r="R21" s="109"/>
      <c r="S21" s="109">
        <f t="shared" si="2"/>
        <v>13895935485</v>
      </c>
      <c r="U21" s="62">
        <f>S21/درآمد!$F$12*100</f>
        <v>1.7401918033278416</v>
      </c>
    </row>
    <row r="22" spans="1:21" ht="18.75">
      <c r="A22" s="55" t="s">
        <v>19</v>
      </c>
      <c r="C22" s="109">
        <f>IFERROR(VLOOKUP(A22,'درآمد سود سهام'!A:S,9,0),0)</f>
        <v>0</v>
      </c>
      <c r="D22" s="109"/>
      <c r="E22" s="109">
        <f>IFERROR(VLOOKUP(A22,'درآمد ناشی از تغییر قیمت اوراق'!A:Q,9,0),0)</f>
        <v>22078007460</v>
      </c>
      <c r="F22" s="109"/>
      <c r="G22" s="109">
        <f>IFERROR(VLOOKUP(A22,'درآمد ناشی از فروش'!A:Q,9,0),0)</f>
        <v>7024257928</v>
      </c>
      <c r="H22" s="109"/>
      <c r="I22" s="109">
        <f t="shared" si="1"/>
        <v>29102265388</v>
      </c>
      <c r="J22" s="61"/>
      <c r="K22" s="62">
        <f t="shared" si="0"/>
        <v>3.6444846582035741</v>
      </c>
      <c r="L22" s="61"/>
      <c r="M22" s="109">
        <f>IFERROR(VLOOKUP(A22,'درآمد سود سهام'!A:S,15,0),0)</f>
        <v>0</v>
      </c>
      <c r="N22" s="109"/>
      <c r="O22" s="109">
        <f>IFERROR(VLOOKUP(A22,'درآمد ناشی از تغییر قیمت اوراق'!A:Q,17,0),0)</f>
        <v>22078007460</v>
      </c>
      <c r="P22" s="109"/>
      <c r="Q22" s="109">
        <f>IFERROR(VLOOKUP(A22,'درآمد ناشی از فروش'!A:Q,17,0),0)</f>
        <v>7024257928</v>
      </c>
      <c r="R22" s="109"/>
      <c r="S22" s="109">
        <f t="shared" si="2"/>
        <v>29102265388</v>
      </c>
      <c r="U22" s="62">
        <f>S22/درآمد!$F$12*100</f>
        <v>3.6444846582035741</v>
      </c>
    </row>
    <row r="23" spans="1:21" ht="18.75">
      <c r="A23" s="55" t="s">
        <v>20</v>
      </c>
      <c r="C23" s="109">
        <f>IFERROR(VLOOKUP(A23,'درآمد سود سهام'!A:S,9,0),0)</f>
        <v>0</v>
      </c>
      <c r="D23" s="109"/>
      <c r="E23" s="109">
        <f>IFERROR(VLOOKUP(A23,'درآمد ناشی از تغییر قیمت اوراق'!A:Q,9,0),0)</f>
        <v>0</v>
      </c>
      <c r="F23" s="109"/>
      <c r="G23" s="109">
        <f>IFERROR(VLOOKUP(A23,'درآمد ناشی از فروش'!A:Q,9,0),0)</f>
        <v>1369358911</v>
      </c>
      <c r="H23" s="109"/>
      <c r="I23" s="109">
        <f t="shared" si="1"/>
        <v>1369358911</v>
      </c>
      <c r="J23" s="61"/>
      <c r="K23" s="62">
        <f t="shared" si="0"/>
        <v>0.17148519114156921</v>
      </c>
      <c r="L23" s="61"/>
      <c r="M23" s="109">
        <f>IFERROR(VLOOKUP(A23,'درآمد سود سهام'!A:S,15,0),0)</f>
        <v>0</v>
      </c>
      <c r="N23" s="109"/>
      <c r="O23" s="109">
        <f>IFERROR(VLOOKUP(A23,'درآمد ناشی از تغییر قیمت اوراق'!A:Q,17,0),0)</f>
        <v>0</v>
      </c>
      <c r="P23" s="109"/>
      <c r="Q23" s="109">
        <f>IFERROR(VLOOKUP(A23,'درآمد ناشی از فروش'!A:Q,17,0),0)</f>
        <v>1369358911</v>
      </c>
      <c r="R23" s="109"/>
      <c r="S23" s="109">
        <f t="shared" si="2"/>
        <v>1369358911</v>
      </c>
      <c r="U23" s="62">
        <f>S23/درآمد!$F$12*100</f>
        <v>0.17148519114156921</v>
      </c>
    </row>
    <row r="24" spans="1:21" ht="18.75">
      <c r="A24" s="55" t="s">
        <v>23</v>
      </c>
      <c r="C24" s="109">
        <f>IFERROR(VLOOKUP(A24,'درآمد سود سهام'!A:S,9,0),0)</f>
        <v>0</v>
      </c>
      <c r="D24" s="109"/>
      <c r="E24" s="109">
        <f>IFERROR(VLOOKUP(A24,'درآمد ناشی از تغییر قیمت اوراق'!A:Q,9,0),0)</f>
        <v>641299140</v>
      </c>
      <c r="F24" s="109"/>
      <c r="G24" s="109">
        <f>IFERROR(VLOOKUP(A24,'درآمد ناشی از فروش'!A:Q,9,0),0)</f>
        <v>0</v>
      </c>
      <c r="H24" s="109"/>
      <c r="I24" s="109">
        <f t="shared" si="1"/>
        <v>641299140</v>
      </c>
      <c r="J24" s="61"/>
      <c r="K24" s="62">
        <f t="shared" si="0"/>
        <v>8.0310066789950549E-2</v>
      </c>
      <c r="L24" s="61"/>
      <c r="M24" s="109">
        <f>IFERROR(VLOOKUP(A24,'درآمد سود سهام'!A:S,15,0),0)</f>
        <v>0</v>
      </c>
      <c r="N24" s="109"/>
      <c r="O24" s="109">
        <f>IFERROR(VLOOKUP(A24,'درآمد ناشی از تغییر قیمت اوراق'!A:Q,17,0),0)</f>
        <v>641299140</v>
      </c>
      <c r="P24" s="109"/>
      <c r="Q24" s="109">
        <f>IFERROR(VLOOKUP(A24,'درآمد ناشی از فروش'!A:Q,17,0),0)</f>
        <v>0</v>
      </c>
      <c r="R24" s="109"/>
      <c r="S24" s="109">
        <f t="shared" si="2"/>
        <v>641299140</v>
      </c>
      <c r="U24" s="62">
        <f>S24/درآمد!$F$12*100</f>
        <v>8.0310066789950549E-2</v>
      </c>
    </row>
    <row r="25" spans="1:21" ht="18.75">
      <c r="A25" s="55" t="s">
        <v>24</v>
      </c>
      <c r="B25" s="63"/>
      <c r="C25" s="109">
        <f>IFERROR(VLOOKUP(A25,'درآمد سود سهام'!A:S,9,0),0)</f>
        <v>0</v>
      </c>
      <c r="D25" s="109"/>
      <c r="E25" s="109">
        <f>IFERROR(VLOOKUP(A25,'درآمد ناشی از تغییر قیمت اوراق'!A:Q,9,0),0)</f>
        <v>12295150726</v>
      </c>
      <c r="F25" s="109"/>
      <c r="G25" s="109">
        <f>IFERROR(VLOOKUP(A25,'درآمد ناشی از فروش'!A:Q,9,0),0)</f>
        <v>0</v>
      </c>
      <c r="H25" s="109"/>
      <c r="I25" s="109">
        <f t="shared" si="1"/>
        <v>12295150726</v>
      </c>
      <c r="J25" s="61"/>
      <c r="K25" s="62">
        <f t="shared" si="0"/>
        <v>1.5397250899129056</v>
      </c>
      <c r="L25" s="61"/>
      <c r="M25" s="109">
        <f>IFERROR(VLOOKUP(A25,'درآمد سود سهام'!A:S,15,0),0)</f>
        <v>0</v>
      </c>
      <c r="N25" s="109"/>
      <c r="O25" s="109">
        <f>IFERROR(VLOOKUP(A25,'درآمد ناشی از تغییر قیمت اوراق'!A:Q,17,0),0)</f>
        <v>12295150726</v>
      </c>
      <c r="P25" s="109"/>
      <c r="Q25" s="109">
        <f>IFERROR(VLOOKUP(A25,'درآمد ناشی از فروش'!A:Q,17,0),0)</f>
        <v>0</v>
      </c>
      <c r="R25" s="109"/>
      <c r="S25" s="109">
        <f t="shared" si="2"/>
        <v>12295150726</v>
      </c>
      <c r="U25" s="62">
        <f>S25/درآمد!$F$12*100</f>
        <v>1.5397250899129056</v>
      </c>
    </row>
    <row r="26" spans="1:21" ht="18.75">
      <c r="A26" s="55" t="s">
        <v>145</v>
      </c>
      <c r="C26" s="109">
        <f>IFERROR(VLOOKUP(A26,'درآمد سود سهام'!A:S,9,0),0)</f>
        <v>0</v>
      </c>
      <c r="D26" s="110"/>
      <c r="E26" s="109">
        <f>IFERROR(VLOOKUP(A26,'درآمد ناشی از تغییر قیمت اوراق'!A:Q,9,0),0)</f>
        <v>9232921212</v>
      </c>
      <c r="F26" s="110"/>
      <c r="G26" s="109">
        <f>IFERROR(VLOOKUP(A26,'درآمد ناشی از فروش'!A:Q,9,0),0)</f>
        <v>0</v>
      </c>
      <c r="H26" s="110"/>
      <c r="I26" s="109">
        <f t="shared" si="1"/>
        <v>9232921212</v>
      </c>
      <c r="K26" s="62">
        <f t="shared" si="0"/>
        <v>1.1562412499135291</v>
      </c>
      <c r="M26" s="109">
        <f>IFERROR(VLOOKUP(A26,'درآمد سود سهام'!A:S,15,0),0)</f>
        <v>0</v>
      </c>
      <c r="N26" s="110"/>
      <c r="O26" s="109">
        <f>IFERROR(VLOOKUP(A26,'درآمد ناشی از تغییر قیمت اوراق'!A:Q,17,0),0)</f>
        <v>9232921212</v>
      </c>
      <c r="P26" s="110"/>
      <c r="Q26" s="109">
        <f>IFERROR(VLOOKUP(A26,'درآمد ناشی از فروش'!A:Q,17,0),0)</f>
        <v>0</v>
      </c>
      <c r="R26" s="110"/>
      <c r="S26" s="109">
        <f t="shared" si="2"/>
        <v>9232921212</v>
      </c>
      <c r="U26" s="62">
        <f>S26/درآمد!$F$12*100</f>
        <v>1.1562412499135291</v>
      </c>
    </row>
    <row r="27" spans="1:21" ht="18.75">
      <c r="A27" s="55" t="s">
        <v>128</v>
      </c>
      <c r="C27" s="109">
        <f>IFERROR(VLOOKUP(A27,'درآمد سود سهام'!A:S,9,0),0)</f>
        <v>0</v>
      </c>
      <c r="D27" s="110"/>
      <c r="E27" s="109">
        <f>IFERROR(VLOOKUP(A27,'درآمد ناشی از تغییر قیمت اوراق'!A:Q,9,0),0)</f>
        <v>32698144590</v>
      </c>
      <c r="F27" s="110"/>
      <c r="G27" s="109">
        <f>IFERROR(VLOOKUP(A27,'درآمد ناشی از فروش'!A:Q,9,0),0)</f>
        <v>0</v>
      </c>
      <c r="H27" s="110"/>
      <c r="I27" s="109">
        <f t="shared" si="1"/>
        <v>32698144590</v>
      </c>
      <c r="K27" s="62">
        <f t="shared" si="0"/>
        <v>4.0947975946613004</v>
      </c>
      <c r="M27" s="109">
        <f>IFERROR(VLOOKUP(A27,'درآمد سود سهام'!A:S,15,0),0)</f>
        <v>0</v>
      </c>
      <c r="N27" s="110"/>
      <c r="O27" s="109">
        <f>IFERROR(VLOOKUP(A27,'درآمد ناشی از تغییر قیمت اوراق'!A:Q,17,0),0)</f>
        <v>32698144590</v>
      </c>
      <c r="P27" s="110"/>
      <c r="Q27" s="109">
        <f>IFERROR(VLOOKUP(A27,'درآمد ناشی از فروش'!A:Q,17,0),0)</f>
        <v>0</v>
      </c>
      <c r="R27" s="110"/>
      <c r="S27" s="109">
        <f t="shared" si="2"/>
        <v>32698144590</v>
      </c>
      <c r="U27" s="62">
        <f>S27/درآمد!$F$12*100</f>
        <v>4.0947975946613004</v>
      </c>
    </row>
    <row r="28" spans="1:21" ht="18.75">
      <c r="A28" s="55" t="s">
        <v>14</v>
      </c>
      <c r="C28" s="109">
        <f>IFERROR(VLOOKUP(A28,'درآمد سود سهام'!A:S,9,0),0)</f>
        <v>0</v>
      </c>
      <c r="D28" s="110"/>
      <c r="E28" s="109">
        <f>IFERROR(VLOOKUP(A28,'درآمد ناشی از تغییر قیمت اوراق'!A:Q,9,0),0)</f>
        <v>71515444905</v>
      </c>
      <c r="F28" s="110"/>
      <c r="G28" s="109">
        <f>IFERROR(VLOOKUP(A28,'درآمد ناشی از فروش'!A:Q,9,0),0)</f>
        <v>4861234864</v>
      </c>
      <c r="H28" s="110"/>
      <c r="I28" s="109">
        <f t="shared" si="1"/>
        <v>76376679769</v>
      </c>
      <c r="K28" s="62">
        <f t="shared" si="0"/>
        <v>9.5646725075025909</v>
      </c>
      <c r="M28" s="109">
        <f>IFERROR(VLOOKUP(A28,'درآمد سود سهام'!A:S,15,0),0)</f>
        <v>0</v>
      </c>
      <c r="N28" s="110"/>
      <c r="O28" s="109">
        <f>IFERROR(VLOOKUP(A28,'درآمد ناشی از تغییر قیمت اوراق'!A:Q,17,0),0)</f>
        <v>71515444905</v>
      </c>
      <c r="P28" s="110"/>
      <c r="Q28" s="109">
        <f>IFERROR(VLOOKUP(A28,'درآمد ناشی از فروش'!A:Q,17,0),0)</f>
        <v>4861234864</v>
      </c>
      <c r="R28" s="110"/>
      <c r="S28" s="109">
        <f t="shared" si="2"/>
        <v>76376679769</v>
      </c>
      <c r="U28" s="62">
        <f>S28/درآمد!$F$12*100</f>
        <v>9.5646725075025909</v>
      </c>
    </row>
    <row r="29" spans="1:21" ht="18.75">
      <c r="A29" s="55" t="s">
        <v>12</v>
      </c>
      <c r="C29" s="109">
        <f>IFERROR(VLOOKUP(A29,'درآمد سود سهام'!A:S,9,0),0)</f>
        <v>0</v>
      </c>
      <c r="D29" s="110"/>
      <c r="E29" s="109">
        <f>IFERROR(VLOOKUP(A29,'درآمد ناشی از تغییر قیمت اوراق'!A:Q,9,0),0)</f>
        <v>37197576265</v>
      </c>
      <c r="F29" s="110"/>
      <c r="G29" s="109">
        <f>IFERROR(VLOOKUP(A29,'درآمد ناشی از فروش'!A:Q,9,0),0)</f>
        <v>59081626517</v>
      </c>
      <c r="H29" s="110"/>
      <c r="I29" s="109">
        <f t="shared" si="1"/>
        <v>96279202782</v>
      </c>
      <c r="K29" s="62">
        <f t="shared" si="0"/>
        <v>12.05707091062934</v>
      </c>
      <c r="M29" s="109">
        <f>IFERROR(VLOOKUP(A29,'درآمد سود سهام'!A:S,15,0),0)</f>
        <v>0</v>
      </c>
      <c r="N29" s="110"/>
      <c r="O29" s="109">
        <f>IFERROR(VLOOKUP(A29,'درآمد ناشی از تغییر قیمت اوراق'!A:Q,17,0),0)</f>
        <v>37197576265</v>
      </c>
      <c r="P29" s="110"/>
      <c r="Q29" s="109">
        <f>IFERROR(VLOOKUP(A29,'درآمد ناشی از فروش'!A:Q,17,0),0)</f>
        <v>59081626517</v>
      </c>
      <c r="R29" s="110"/>
      <c r="S29" s="109">
        <f t="shared" si="2"/>
        <v>96279202782</v>
      </c>
      <c r="U29" s="62">
        <f>S29/درآمد!$F$12*100</f>
        <v>12.05707091062934</v>
      </c>
    </row>
    <row r="30" spans="1:21" ht="18.75">
      <c r="A30" s="55" t="s">
        <v>13</v>
      </c>
      <c r="C30" s="109">
        <f>IFERROR(VLOOKUP(A30,'درآمد سود سهام'!A:S,9,0),0)</f>
        <v>0</v>
      </c>
      <c r="D30" s="110"/>
      <c r="E30" s="109">
        <f>IFERROR(VLOOKUP(A30,'درآمد ناشی از تغییر قیمت اوراق'!A:Q,9,0),0)</f>
        <v>2822552251</v>
      </c>
      <c r="F30" s="110"/>
      <c r="G30" s="109">
        <f>IFERROR(VLOOKUP(A30,'درآمد ناشی از فروش'!A:Q,9,0),0)</f>
        <v>0</v>
      </c>
      <c r="H30" s="110"/>
      <c r="I30" s="109">
        <f t="shared" si="1"/>
        <v>2822552251</v>
      </c>
      <c r="K30" s="62">
        <f t="shared" si="0"/>
        <v>0.35346899076760852</v>
      </c>
      <c r="M30" s="109">
        <f>IFERROR(VLOOKUP(A30,'درآمد سود سهام'!A:S,15,0),0)</f>
        <v>0</v>
      </c>
      <c r="N30" s="110"/>
      <c r="O30" s="109">
        <f>IFERROR(VLOOKUP(A30,'درآمد ناشی از تغییر قیمت اوراق'!A:Q,17,0),0)</f>
        <v>2822552251</v>
      </c>
      <c r="P30" s="110"/>
      <c r="Q30" s="109">
        <f>IFERROR(VLOOKUP(A30,'درآمد ناشی از فروش'!A:Q,17,0),0)</f>
        <v>0</v>
      </c>
      <c r="R30" s="110"/>
      <c r="S30" s="109">
        <f t="shared" si="2"/>
        <v>2822552251</v>
      </c>
      <c r="U30" s="62">
        <f>S30/درآمد!$F$12*100</f>
        <v>0.35346899076760852</v>
      </c>
    </row>
    <row r="31" spans="1:21" ht="18.75">
      <c r="A31" s="55" t="s">
        <v>164</v>
      </c>
      <c r="C31" s="109">
        <f>IFERROR(VLOOKUP(A31,'درآمد سود سهام'!A:S,9,0),0)</f>
        <v>0</v>
      </c>
      <c r="D31" s="110"/>
      <c r="E31" s="109">
        <f>IFERROR(VLOOKUP(A31,'درآمد ناشی از تغییر قیمت اوراق'!A:Q,9,0),0)</f>
        <v>8619573259</v>
      </c>
      <c r="F31" s="110"/>
      <c r="G31" s="109">
        <f>IFERROR(VLOOKUP(A31,'درآمد ناشی از فروش'!A:Q,9,0),0)</f>
        <v>0</v>
      </c>
      <c r="H31" s="110"/>
      <c r="I31" s="109">
        <f t="shared" si="1"/>
        <v>8619573259</v>
      </c>
      <c r="K31" s="62">
        <f t="shared" si="0"/>
        <v>1.0794315179202669</v>
      </c>
      <c r="M31" s="109">
        <f>IFERROR(VLOOKUP(A31,'درآمد سود سهام'!A:S,15,0),0)</f>
        <v>0</v>
      </c>
      <c r="N31" s="110"/>
      <c r="O31" s="109">
        <f>IFERROR(VLOOKUP(A31,'درآمد ناشی از تغییر قیمت اوراق'!A:Q,17,0),0)</f>
        <v>8619573259</v>
      </c>
      <c r="P31" s="110"/>
      <c r="Q31" s="109">
        <f>IFERROR(VLOOKUP(A31,'درآمد ناشی از فروش'!A:Q,17,0),0)</f>
        <v>0</v>
      </c>
      <c r="R31" s="110"/>
      <c r="S31" s="109">
        <f t="shared" si="2"/>
        <v>8619573259</v>
      </c>
      <c r="U31" s="62">
        <f>S31/درآمد!$F$12*100</f>
        <v>1.0794315179202669</v>
      </c>
    </row>
    <row r="32" spans="1:21" ht="18.75">
      <c r="A32" s="55" t="s">
        <v>156</v>
      </c>
      <c r="C32" s="109">
        <f>IFERROR(VLOOKUP(A32,'درآمد سود سهام'!A:S,9,0),0)</f>
        <v>0</v>
      </c>
      <c r="D32" s="110"/>
      <c r="E32" s="109">
        <f>IFERROR(VLOOKUP(A32,'درآمد ناشی از تغییر قیمت اوراق'!A:Q,9,0),0)</f>
        <v>5439426643</v>
      </c>
      <c r="F32" s="110"/>
      <c r="G32" s="109">
        <f>IFERROR(VLOOKUP(A32,'درآمد ناشی از فروش'!A:Q,9,0),0)</f>
        <v>0</v>
      </c>
      <c r="H32" s="110"/>
      <c r="I32" s="109">
        <f t="shared" si="1"/>
        <v>5439426643</v>
      </c>
      <c r="K32" s="62">
        <f t="shared" si="0"/>
        <v>0.68118088697010659</v>
      </c>
      <c r="M32" s="109">
        <f>IFERROR(VLOOKUP(A32,'درآمد سود سهام'!A:S,15,0),0)</f>
        <v>0</v>
      </c>
      <c r="N32" s="110"/>
      <c r="O32" s="109">
        <f>IFERROR(VLOOKUP(A32,'درآمد ناشی از تغییر قیمت اوراق'!A:Q,17,0),0)</f>
        <v>5439426643</v>
      </c>
      <c r="P32" s="110"/>
      <c r="Q32" s="109">
        <f>IFERROR(VLOOKUP(A32,'درآمد ناشی از فروش'!A:Q,17,0),0)</f>
        <v>0</v>
      </c>
      <c r="R32" s="110"/>
      <c r="S32" s="109">
        <f t="shared" si="2"/>
        <v>5439426643</v>
      </c>
      <c r="U32" s="62">
        <f>S32/درآمد!$F$12*100</f>
        <v>0.68118088697010659</v>
      </c>
    </row>
    <row r="33" spans="1:21" ht="18.75">
      <c r="A33" s="55" t="s">
        <v>150</v>
      </c>
      <c r="C33" s="109">
        <f>IFERROR(VLOOKUP(A33,'درآمد سود سهام'!A:S,9,0),0)</f>
        <v>0</v>
      </c>
      <c r="D33" s="110"/>
      <c r="E33" s="109">
        <f>IFERROR(VLOOKUP(A33,'درآمد ناشی از تغییر قیمت اوراق'!A:Q,9,0),0)</f>
        <v>-132839522</v>
      </c>
      <c r="F33" s="110"/>
      <c r="G33" s="109">
        <f>IFERROR(VLOOKUP(A33,'درآمد ناشی از فروش'!A:Q,9,0),0)</f>
        <v>0</v>
      </c>
      <c r="H33" s="110"/>
      <c r="I33" s="109">
        <f t="shared" si="1"/>
        <v>-132839522</v>
      </c>
      <c r="K33" s="62">
        <f t="shared" si="0"/>
        <v>-1.6635529690816529E-2</v>
      </c>
      <c r="M33" s="109">
        <f>IFERROR(VLOOKUP(A33,'درآمد سود سهام'!A:S,15,0),0)</f>
        <v>0</v>
      </c>
      <c r="N33" s="110"/>
      <c r="O33" s="109">
        <f>IFERROR(VLOOKUP(A33,'درآمد ناشی از تغییر قیمت اوراق'!A:Q,17,0),0)</f>
        <v>-132839522</v>
      </c>
      <c r="P33" s="110"/>
      <c r="Q33" s="109">
        <f>IFERROR(VLOOKUP(A33,'درآمد ناشی از فروش'!A:Q,17,0),0)</f>
        <v>0</v>
      </c>
      <c r="R33" s="110"/>
      <c r="S33" s="109">
        <f t="shared" si="2"/>
        <v>-132839522</v>
      </c>
      <c r="T33" s="61"/>
      <c r="U33" s="62">
        <f>S33/درآمد!$F$12*100</f>
        <v>-1.6635529690816529E-2</v>
      </c>
    </row>
    <row r="34" spans="1:21" ht="18.75">
      <c r="A34" s="55" t="s">
        <v>161</v>
      </c>
      <c r="C34" s="109">
        <f>IFERROR(VLOOKUP(A34,'درآمد سود سهام'!A:S,9,0),0)</f>
        <v>0</v>
      </c>
      <c r="D34" s="110"/>
      <c r="E34" s="109">
        <f>IFERROR(VLOOKUP(A34,'درآمد ناشی از تغییر قیمت اوراق'!A:Q,9,0),0)</f>
        <v>238108626</v>
      </c>
      <c r="F34" s="110"/>
      <c r="G34" s="109">
        <f>IFERROR(VLOOKUP(A34,'درآمد ناشی از فروش'!A:Q,9,0),0)</f>
        <v>0</v>
      </c>
      <c r="H34" s="110"/>
      <c r="I34" s="109">
        <f t="shared" si="1"/>
        <v>238108626</v>
      </c>
      <c r="K34" s="62">
        <f t="shared" si="0"/>
        <v>2.9818408391009778E-2</v>
      </c>
      <c r="M34" s="109">
        <f>IFERROR(VLOOKUP(A34,'درآمد سود سهام'!A:S,15,0),0)</f>
        <v>0</v>
      </c>
      <c r="N34" s="110"/>
      <c r="O34" s="109">
        <f>IFERROR(VLOOKUP(A34,'درآمد ناشی از تغییر قیمت اوراق'!A:Q,17,0),0)</f>
        <v>238108626</v>
      </c>
      <c r="P34" s="110"/>
      <c r="Q34" s="109">
        <f>IFERROR(VLOOKUP(A34,'درآمد ناشی از فروش'!A:Q,17,0),0)</f>
        <v>0</v>
      </c>
      <c r="R34" s="110"/>
      <c r="S34" s="109">
        <f t="shared" si="2"/>
        <v>238108626</v>
      </c>
      <c r="T34" s="61"/>
      <c r="U34" s="62">
        <f>S34/درآمد!$F$12*100</f>
        <v>2.9818408391009778E-2</v>
      </c>
    </row>
    <row r="35" spans="1:21" ht="18.75">
      <c r="A35" s="55" t="s">
        <v>159</v>
      </c>
      <c r="C35" s="109">
        <f>IFERROR(VLOOKUP(A35,'درآمد سود سهام'!A:S,9,0),0)</f>
        <v>0</v>
      </c>
      <c r="D35" s="110"/>
      <c r="E35" s="109">
        <f>IFERROR(VLOOKUP(A35,'درآمد ناشی از تغییر قیمت اوراق'!A:Q,9,0),0)</f>
        <v>-2184069388</v>
      </c>
      <c r="F35" s="110"/>
      <c r="G35" s="109">
        <f>IFERROR(VLOOKUP(A35,'درآمد ناشی از فروش'!A:Q,9,0),0)</f>
        <v>0</v>
      </c>
      <c r="H35" s="110"/>
      <c r="I35" s="109">
        <f t="shared" si="1"/>
        <v>-2184069388</v>
      </c>
      <c r="K35" s="62">
        <f t="shared" si="0"/>
        <v>-0.27351160711702566</v>
      </c>
      <c r="M35" s="109">
        <f>IFERROR(VLOOKUP(A35,'درآمد سود سهام'!A:S,15,0),0)</f>
        <v>0</v>
      </c>
      <c r="N35" s="110"/>
      <c r="O35" s="109">
        <f>IFERROR(VLOOKUP(A35,'درآمد ناشی از تغییر قیمت اوراق'!A:Q,17,0),0)</f>
        <v>-2184069388</v>
      </c>
      <c r="P35" s="110"/>
      <c r="Q35" s="109">
        <f>IFERROR(VLOOKUP(A35,'درآمد ناشی از فروش'!A:Q,17,0),0)</f>
        <v>0</v>
      </c>
      <c r="R35" s="110"/>
      <c r="S35" s="109">
        <f t="shared" si="2"/>
        <v>-2184069388</v>
      </c>
      <c r="T35" s="61"/>
      <c r="U35" s="62">
        <f>S35/درآمد!$F$12*100</f>
        <v>-0.27351160711702566</v>
      </c>
    </row>
    <row r="36" spans="1:21" ht="18.75">
      <c r="A36" s="55" t="s">
        <v>158</v>
      </c>
      <c r="C36" s="109">
        <f>IFERROR(VLOOKUP(A36,'درآمد سود سهام'!A:S,9,0),0)</f>
        <v>0</v>
      </c>
      <c r="D36" s="110"/>
      <c r="E36" s="109">
        <f>IFERROR(VLOOKUP(A36,'درآمد ناشی از تغییر قیمت اوراق'!A:Q,9,0),0)</f>
        <v>-1656921930</v>
      </c>
      <c r="F36" s="110"/>
      <c r="G36" s="109">
        <f>IFERROR(VLOOKUP(A36,'درآمد ناشی از فروش'!A:Q,9,0),0)</f>
        <v>0</v>
      </c>
      <c r="H36" s="110"/>
      <c r="I36" s="109">
        <f t="shared" si="1"/>
        <v>-1656921930</v>
      </c>
      <c r="K36" s="62">
        <f t="shared" si="0"/>
        <v>-0.20749678670087374</v>
      </c>
      <c r="M36" s="109">
        <f>IFERROR(VLOOKUP(A36,'درآمد سود سهام'!A:S,15,0),0)</f>
        <v>0</v>
      </c>
      <c r="N36" s="110"/>
      <c r="O36" s="109">
        <f>IFERROR(VLOOKUP(A36,'درآمد ناشی از تغییر قیمت اوراق'!A:Q,17,0),0)</f>
        <v>-1656921930</v>
      </c>
      <c r="P36" s="110"/>
      <c r="Q36" s="109">
        <f>IFERROR(VLOOKUP(A36,'درآمد ناشی از فروش'!A:Q,17,0),0)</f>
        <v>0</v>
      </c>
      <c r="R36" s="110"/>
      <c r="S36" s="109">
        <f t="shared" si="2"/>
        <v>-1656921930</v>
      </c>
      <c r="T36" s="61"/>
      <c r="U36" s="62">
        <f>S36/درآمد!$F$12*100</f>
        <v>-0.20749678670087374</v>
      </c>
    </row>
    <row r="37" spans="1:21" ht="18.75">
      <c r="A37" s="55" t="s">
        <v>155</v>
      </c>
      <c r="C37" s="109">
        <f>IFERROR(VLOOKUP(A37,'درآمد سود سهام'!A:S,9,0),0)</f>
        <v>0</v>
      </c>
      <c r="D37" s="109"/>
      <c r="E37" s="109">
        <f>IFERROR(VLOOKUP(A37,'درآمد ناشی از تغییر قیمت اوراق'!A:Q,9,0),0)</f>
        <v>-256144922</v>
      </c>
      <c r="F37" s="109"/>
      <c r="G37" s="109">
        <f>IFERROR(VLOOKUP(A37,'درآمد ناشی از فروش'!A:Q,9,0),0)</f>
        <v>0</v>
      </c>
      <c r="H37" s="109"/>
      <c r="I37" s="109">
        <f t="shared" si="1"/>
        <v>-256144922</v>
      </c>
      <c r="J37" s="61"/>
      <c r="K37" s="62">
        <f t="shared" si="0"/>
        <v>-3.2077098674616458E-2</v>
      </c>
      <c r="L37" s="61"/>
      <c r="M37" s="109">
        <f>IFERROR(VLOOKUP(A37,'درآمد سود سهام'!A:S,15,0),0)</f>
        <v>0</v>
      </c>
      <c r="N37" s="109"/>
      <c r="O37" s="109">
        <f>IFERROR(VLOOKUP(A37,'درآمد ناشی از تغییر قیمت اوراق'!A:Q,17,0),0)</f>
        <v>-256144922</v>
      </c>
      <c r="P37" s="109"/>
      <c r="Q37" s="109">
        <f>IFERROR(VLOOKUP(A37,'درآمد ناشی از فروش'!A:Q,17,0),0)</f>
        <v>0</v>
      </c>
      <c r="R37" s="109"/>
      <c r="S37" s="109">
        <f t="shared" si="2"/>
        <v>-256144922</v>
      </c>
      <c r="U37" s="62">
        <f>S37/درآمد!$F$12*100</f>
        <v>-3.2077098674616458E-2</v>
      </c>
    </row>
    <row r="38" spans="1:21" ht="18.75">
      <c r="A38" s="55" t="s">
        <v>162</v>
      </c>
      <c r="B38" s="63"/>
      <c r="C38" s="109">
        <f>IFERROR(VLOOKUP(A38,'درآمد سود سهام'!A:S,9,0),0)</f>
        <v>0</v>
      </c>
      <c r="D38" s="109"/>
      <c r="E38" s="109">
        <f>IFERROR(VLOOKUP(A38,'درآمد ناشی از تغییر قیمت اوراق'!A:Q,9,0),0)</f>
        <v>8163647549</v>
      </c>
      <c r="F38" s="109"/>
      <c r="G38" s="109">
        <f>IFERROR(VLOOKUP(A38,'درآمد ناشی از فروش'!A:Q,9,0),0)</f>
        <v>0</v>
      </c>
      <c r="H38" s="109"/>
      <c r="I38" s="109">
        <f t="shared" si="1"/>
        <v>8163647549</v>
      </c>
      <c r="J38" s="61"/>
      <c r="K38" s="62">
        <f t="shared" si="0"/>
        <v>1.0223358164955687</v>
      </c>
      <c r="L38" s="61"/>
      <c r="M38" s="109">
        <f>IFERROR(VLOOKUP(A38,'درآمد سود سهام'!A:S,15,0),0)</f>
        <v>0</v>
      </c>
      <c r="N38" s="109"/>
      <c r="O38" s="109">
        <f>IFERROR(VLOOKUP(A38,'درآمد ناشی از تغییر قیمت اوراق'!A:Q,17,0),0)</f>
        <v>8163647549</v>
      </c>
      <c r="P38" s="109"/>
      <c r="Q38" s="109">
        <f>IFERROR(VLOOKUP(A38,'درآمد ناشی از فروش'!A:Q,17,0),0)</f>
        <v>0</v>
      </c>
      <c r="R38" s="109"/>
      <c r="S38" s="109">
        <f t="shared" si="2"/>
        <v>8163647549</v>
      </c>
      <c r="U38" s="62">
        <f>S38/درآمد!$F$12*100</f>
        <v>1.0223358164955687</v>
      </c>
    </row>
    <row r="39" spans="1:21" ht="18.75">
      <c r="A39" s="55" t="s">
        <v>143</v>
      </c>
      <c r="C39" s="109">
        <f>IFERROR(VLOOKUP(A39,'درآمد سود سهام'!A:S,9,0),0)</f>
        <v>0</v>
      </c>
      <c r="D39" s="109"/>
      <c r="E39" s="109">
        <f>IFERROR(VLOOKUP(A39,'درآمد ناشی از تغییر قیمت اوراق'!A:Q,9,0),0)</f>
        <v>9625614362</v>
      </c>
      <c r="F39" s="109"/>
      <c r="G39" s="109">
        <f>IFERROR(VLOOKUP(A39,'درآمد ناشی از فروش'!A:Q,9,0),0)</f>
        <v>0</v>
      </c>
      <c r="H39" s="109"/>
      <c r="I39" s="109">
        <f t="shared" si="1"/>
        <v>9625614362</v>
      </c>
      <c r="J39" s="61"/>
      <c r="K39" s="62">
        <f t="shared" si="0"/>
        <v>1.2054183205462077</v>
      </c>
      <c r="L39" s="61"/>
      <c r="M39" s="109">
        <f>IFERROR(VLOOKUP(A39,'درآمد سود سهام'!A:S,15,0),0)</f>
        <v>0</v>
      </c>
      <c r="N39" s="109"/>
      <c r="O39" s="109">
        <f>IFERROR(VLOOKUP(A39,'درآمد ناشی از تغییر قیمت اوراق'!A:Q,17,0),0)</f>
        <v>9625614362</v>
      </c>
      <c r="P39" s="109"/>
      <c r="Q39" s="109">
        <f>IFERROR(VLOOKUP(A39,'درآمد ناشی از فروش'!A:Q,17,0),0)</f>
        <v>0</v>
      </c>
      <c r="R39" s="109"/>
      <c r="S39" s="109">
        <f t="shared" si="2"/>
        <v>9625614362</v>
      </c>
      <c r="U39" s="62">
        <f>S39/درآمد!$F$12*100</f>
        <v>1.2054183205462077</v>
      </c>
    </row>
    <row r="40" spans="1:21" ht="18.75">
      <c r="A40" s="55" t="s">
        <v>146</v>
      </c>
      <c r="B40" s="63"/>
      <c r="C40" s="109">
        <f>IFERROR(VLOOKUP(A40,'درآمد سود سهام'!A:S,9,0),0)</f>
        <v>0</v>
      </c>
      <c r="D40" s="109"/>
      <c r="E40" s="109">
        <f>IFERROR(VLOOKUP(A40,'درآمد ناشی از تغییر قیمت اوراق'!A:Q,9,0),0)</f>
        <v>15850547259</v>
      </c>
      <c r="F40" s="109"/>
      <c r="G40" s="109">
        <f>IFERROR(VLOOKUP(A40,'درآمد ناشی از فروش'!A:Q,9,0),0)</f>
        <v>0</v>
      </c>
      <c r="H40" s="109"/>
      <c r="I40" s="109">
        <f t="shared" si="1"/>
        <v>15850547259</v>
      </c>
      <c r="J40" s="61"/>
      <c r="K40" s="62">
        <f t="shared" si="0"/>
        <v>1.9849683706539161</v>
      </c>
      <c r="L40" s="61"/>
      <c r="M40" s="109">
        <f>IFERROR(VLOOKUP(A40,'درآمد سود سهام'!A:S,15,0),0)</f>
        <v>0</v>
      </c>
      <c r="N40" s="109"/>
      <c r="O40" s="109">
        <f>IFERROR(VLOOKUP(A40,'درآمد ناشی از تغییر قیمت اوراق'!A:Q,17,0),0)</f>
        <v>15850547259</v>
      </c>
      <c r="P40" s="109"/>
      <c r="Q40" s="109">
        <f>IFERROR(VLOOKUP(A40,'درآمد ناشی از فروش'!A:Q,17,0),0)</f>
        <v>0</v>
      </c>
      <c r="R40" s="109"/>
      <c r="S40" s="109">
        <f t="shared" si="2"/>
        <v>15850547259</v>
      </c>
      <c r="U40" s="62">
        <f>S40/درآمد!$F$12*100</f>
        <v>1.9849683706539161</v>
      </c>
    </row>
    <row r="41" spans="1:21" ht="18.75">
      <c r="A41" s="55" t="s">
        <v>21</v>
      </c>
      <c r="C41" s="109">
        <f>IFERROR(VLOOKUP(A41,'درآمد سود سهام'!A:S,9,0),0)</f>
        <v>0</v>
      </c>
      <c r="D41" s="109"/>
      <c r="E41" s="109">
        <f>IFERROR(VLOOKUP(A41,'درآمد ناشی از تغییر قیمت اوراق'!A:Q,9,0),0)</f>
        <v>106925673045</v>
      </c>
      <c r="F41" s="109"/>
      <c r="G41" s="109">
        <f>IFERROR(VLOOKUP(A41,'درآمد ناشی از فروش'!A:Q,9,0),0)</f>
        <v>0</v>
      </c>
      <c r="H41" s="109"/>
      <c r="I41" s="109">
        <f t="shared" si="1"/>
        <v>106925673045</v>
      </c>
      <c r="J41" s="61"/>
      <c r="K41" s="62">
        <f t="shared" si="0"/>
        <v>13.390331295009011</v>
      </c>
      <c r="L41" s="61"/>
      <c r="M41" s="109">
        <f>IFERROR(VLOOKUP(A41,'درآمد سود سهام'!A:S,15,0),0)</f>
        <v>0</v>
      </c>
      <c r="N41" s="109"/>
      <c r="O41" s="109">
        <f>IFERROR(VLOOKUP(A41,'درآمد ناشی از تغییر قیمت اوراق'!A:Q,17,0),0)</f>
        <v>106925673045</v>
      </c>
      <c r="P41" s="109"/>
      <c r="Q41" s="109">
        <f>IFERROR(VLOOKUP(A41,'درآمد ناشی از فروش'!A:Q,17,0),0)</f>
        <v>0</v>
      </c>
      <c r="R41" s="109"/>
      <c r="S41" s="109">
        <f t="shared" si="2"/>
        <v>106925673045</v>
      </c>
      <c r="U41" s="62">
        <f>S41/درآمد!$F$12*100</f>
        <v>13.390331295009011</v>
      </c>
    </row>
    <row r="42" spans="1:21" ht="18.75">
      <c r="A42" s="55" t="s">
        <v>16</v>
      </c>
      <c r="C42" s="109">
        <f>IFERROR(VLOOKUP(A42,'درآمد سود سهام'!A:S,9,0),0)</f>
        <v>0</v>
      </c>
      <c r="D42" s="109"/>
      <c r="E42" s="109">
        <f>IFERROR(VLOOKUP(A42,'درآمد ناشی از تغییر قیمت اوراق'!A:Q,9,0),0)</f>
        <v>25898247</v>
      </c>
      <c r="F42" s="109"/>
      <c r="G42" s="109">
        <f>IFERROR(VLOOKUP(A42,'درآمد ناشی از فروش'!A:Q,9,0),0)</f>
        <v>0</v>
      </c>
      <c r="H42" s="109"/>
      <c r="I42" s="109">
        <f t="shared" si="1"/>
        <v>25898247</v>
      </c>
      <c r="J42" s="61"/>
      <c r="K42" s="62">
        <f t="shared" si="0"/>
        <v>3.2432445587134836E-3</v>
      </c>
      <c r="L42" s="61"/>
      <c r="M42" s="109">
        <f>IFERROR(VLOOKUP(A42,'درآمد سود سهام'!A:S,15,0),0)</f>
        <v>0</v>
      </c>
      <c r="N42" s="109"/>
      <c r="O42" s="109">
        <f>IFERROR(VLOOKUP(A42,'درآمد ناشی از تغییر قیمت اوراق'!A:Q,17,0),0)</f>
        <v>25898247</v>
      </c>
      <c r="P42" s="109"/>
      <c r="Q42" s="109">
        <f>IFERROR(VLOOKUP(A42,'درآمد ناشی از فروش'!A:Q,17,0),0)</f>
        <v>0</v>
      </c>
      <c r="R42" s="109"/>
      <c r="S42" s="109">
        <f t="shared" si="2"/>
        <v>25898247</v>
      </c>
      <c r="U42" s="62">
        <f>S42/درآمد!$F$12*100</f>
        <v>3.2432445587134836E-3</v>
      </c>
    </row>
    <row r="43" spans="1:21" ht="18.75">
      <c r="A43" s="55" t="s">
        <v>17</v>
      </c>
      <c r="B43" s="63"/>
      <c r="C43" s="109">
        <f>IFERROR(VLOOKUP(A43,'درآمد سود سهام'!A:S,9,0),0)</f>
        <v>0</v>
      </c>
      <c r="D43" s="109"/>
      <c r="E43" s="109">
        <f>IFERROR(VLOOKUP(A43,'درآمد ناشی از تغییر قیمت اوراق'!A:Q,9,0),0)</f>
        <v>-3634554524</v>
      </c>
      <c r="F43" s="109"/>
      <c r="G43" s="109">
        <f>IFERROR(VLOOKUP(A43,'درآمد ناشی از فروش'!A:Q,9,0),0)</f>
        <v>0</v>
      </c>
      <c r="H43" s="109"/>
      <c r="I43" s="109">
        <f t="shared" si="1"/>
        <v>-3634554524</v>
      </c>
      <c r="J43" s="61"/>
      <c r="K43" s="62">
        <f t="shared" si="0"/>
        <v>-0.45515625761506073</v>
      </c>
      <c r="L43" s="61"/>
      <c r="M43" s="109">
        <f>IFERROR(VLOOKUP(A43,'درآمد سود سهام'!A:S,15,0),0)</f>
        <v>0</v>
      </c>
      <c r="N43" s="109"/>
      <c r="O43" s="109">
        <f>IFERROR(VLOOKUP(A43,'درآمد ناشی از تغییر قیمت اوراق'!A:Q,17,0),0)</f>
        <v>-3634554524</v>
      </c>
      <c r="P43" s="109"/>
      <c r="Q43" s="109">
        <f>IFERROR(VLOOKUP(A43,'درآمد ناشی از فروش'!A:Q,17,0),0)</f>
        <v>0</v>
      </c>
      <c r="R43" s="109"/>
      <c r="S43" s="109">
        <f t="shared" si="2"/>
        <v>-3634554524</v>
      </c>
      <c r="U43" s="62">
        <f>S43/درآمد!$F$12*100</f>
        <v>-0.45515625761506073</v>
      </c>
    </row>
    <row r="44" spans="1:21" ht="18.75">
      <c r="A44" s="55" t="s">
        <v>157</v>
      </c>
      <c r="C44" s="109">
        <f>IFERROR(VLOOKUP(A44,'درآمد سود سهام'!A:S,9,0),0)</f>
        <v>0</v>
      </c>
      <c r="D44" s="109"/>
      <c r="E44" s="109">
        <f>IFERROR(VLOOKUP(A44,'درآمد ناشی از تغییر قیمت اوراق'!A:Q,9,0),0)</f>
        <v>74269031</v>
      </c>
      <c r="F44" s="109"/>
      <c r="G44" s="109">
        <f>IFERROR(VLOOKUP(A44,'درآمد ناشی از فروش'!A:Q,9,0),0)</f>
        <v>0</v>
      </c>
      <c r="H44" s="109"/>
      <c r="I44" s="109">
        <f t="shared" si="1"/>
        <v>74269031</v>
      </c>
      <c r="J44" s="61"/>
      <c r="K44" s="62">
        <f t="shared" si="0"/>
        <v>9.3007310754149898E-3</v>
      </c>
      <c r="L44" s="61"/>
      <c r="M44" s="109">
        <f>IFERROR(VLOOKUP(A44,'درآمد سود سهام'!A:S,15,0),0)</f>
        <v>0</v>
      </c>
      <c r="N44" s="109"/>
      <c r="O44" s="109">
        <f>IFERROR(VLOOKUP(A44,'درآمد ناشی از تغییر قیمت اوراق'!A:Q,17,0),0)</f>
        <v>74269031</v>
      </c>
      <c r="P44" s="109"/>
      <c r="Q44" s="109">
        <f>IFERROR(VLOOKUP(A44,'درآمد ناشی از فروش'!A:Q,17,0),0)</f>
        <v>0</v>
      </c>
      <c r="R44" s="109"/>
      <c r="S44" s="109">
        <f t="shared" si="2"/>
        <v>74269031</v>
      </c>
      <c r="U44" s="62">
        <f>S44/درآمد!$F$12*100</f>
        <v>9.3007310754149898E-3</v>
      </c>
    </row>
    <row r="45" spans="1:21" ht="18.75">
      <c r="A45" s="55" t="s">
        <v>132</v>
      </c>
      <c r="C45" s="109">
        <f>IFERROR(VLOOKUP(A45,'درآمد سود سهام'!A:S,9,0),0)</f>
        <v>0</v>
      </c>
      <c r="D45" s="109"/>
      <c r="E45" s="109">
        <f>IFERROR(VLOOKUP(A45,'درآمد ناشی از تغییر قیمت اوراق'!A:Q,9,0),0)</f>
        <v>2908463063</v>
      </c>
      <c r="F45" s="109"/>
      <c r="G45" s="109">
        <f>IFERROR(VLOOKUP(A45,'درآمد ناشی از فروش'!A:Q,9,0),0)</f>
        <v>0</v>
      </c>
      <c r="H45" s="109"/>
      <c r="I45" s="109">
        <f t="shared" si="1"/>
        <v>2908463063</v>
      </c>
      <c r="J45" s="61"/>
      <c r="K45" s="62">
        <f t="shared" si="0"/>
        <v>0.36422762526335861</v>
      </c>
      <c r="L45" s="61"/>
      <c r="M45" s="109">
        <f>IFERROR(VLOOKUP(A45,'درآمد سود سهام'!A:S,15,0),0)</f>
        <v>0</v>
      </c>
      <c r="N45" s="109"/>
      <c r="O45" s="109">
        <f>IFERROR(VLOOKUP(A45,'درآمد ناشی از تغییر قیمت اوراق'!A:Q,17,0),0)</f>
        <v>2908463063</v>
      </c>
      <c r="P45" s="109"/>
      <c r="Q45" s="109">
        <f>IFERROR(VLOOKUP(A45,'درآمد ناشی از فروش'!A:Q,17,0),0)</f>
        <v>0</v>
      </c>
      <c r="R45" s="109"/>
      <c r="S45" s="109">
        <f t="shared" si="2"/>
        <v>2908463063</v>
      </c>
      <c r="U45" s="62">
        <f>S45/درآمد!$F$12*100</f>
        <v>0.36422762526335861</v>
      </c>
    </row>
    <row r="46" spans="1:21" ht="18.75">
      <c r="A46" s="55" t="s">
        <v>22</v>
      </c>
      <c r="C46" s="109">
        <f>IFERROR(VLOOKUP(A46,'درآمد سود سهام'!A:S,9,0),0)</f>
        <v>0</v>
      </c>
      <c r="D46" s="109"/>
      <c r="E46" s="109">
        <f>IFERROR(VLOOKUP(A46,'درآمد ناشی از تغییر قیمت اوراق'!A:Q,9,0),0)</f>
        <v>-16908503964</v>
      </c>
      <c r="F46" s="109"/>
      <c r="G46" s="109">
        <f>IFERROR(VLOOKUP(A46,'درآمد ناشی از فروش'!A:Q,9,0),0)</f>
        <v>0</v>
      </c>
      <c r="H46" s="109"/>
      <c r="I46" s="109">
        <f t="shared" si="1"/>
        <v>-16908503964</v>
      </c>
      <c r="J46" s="61"/>
      <c r="K46" s="62">
        <f t="shared" si="0"/>
        <v>-2.1174565783247172</v>
      </c>
      <c r="L46" s="61"/>
      <c r="M46" s="109">
        <f>IFERROR(VLOOKUP(A46,'درآمد سود سهام'!A:S,15,0),0)</f>
        <v>0</v>
      </c>
      <c r="N46" s="109"/>
      <c r="O46" s="109">
        <f>IFERROR(VLOOKUP(A46,'درآمد ناشی از تغییر قیمت اوراق'!A:Q,17,0),0)</f>
        <v>-16908503964</v>
      </c>
      <c r="P46" s="109"/>
      <c r="Q46" s="109">
        <f>IFERROR(VLOOKUP(A46,'درآمد ناشی از فروش'!A:Q,17,0),0)</f>
        <v>0</v>
      </c>
      <c r="R46" s="109"/>
      <c r="S46" s="109">
        <f t="shared" si="2"/>
        <v>-16908503964</v>
      </c>
      <c r="U46" s="62">
        <f>S46/درآمد!$F$12*100</f>
        <v>-2.1174565783247172</v>
      </c>
    </row>
    <row r="47" spans="1:21" ht="19.5" thickBot="1">
      <c r="C47" s="111">
        <f>SUM(C9:C46)</f>
        <v>13534000000</v>
      </c>
      <c r="D47" s="110"/>
      <c r="E47" s="111">
        <f>SUM(E9:E46)</f>
        <v>600777991398</v>
      </c>
      <c r="F47" s="110"/>
      <c r="G47" s="111">
        <f>SUM(G9:G46)</f>
        <v>179348708680</v>
      </c>
      <c r="H47" s="110"/>
      <c r="I47" s="111">
        <f>SUM(I9:I46)</f>
        <v>793660700078</v>
      </c>
      <c r="K47" s="60">
        <f>SUM(K9:K46)</f>
        <v>99.390346651366286</v>
      </c>
      <c r="M47" s="111">
        <f>SUM(M9:M46)</f>
        <v>13534000000</v>
      </c>
      <c r="N47" s="110"/>
      <c r="O47" s="111">
        <f>SUM(O9:O46)</f>
        <v>600777991398</v>
      </c>
      <c r="P47" s="110"/>
      <c r="Q47" s="111">
        <f>SUM(Q9:Q46)</f>
        <v>179348708680</v>
      </c>
      <c r="R47" s="110"/>
      <c r="S47" s="111">
        <f>SUM(S9:S46)</f>
        <v>793660700078</v>
      </c>
      <c r="T47" s="61"/>
      <c r="U47" s="60">
        <f>SUM(U9:U46)</f>
        <v>99.390346651366286</v>
      </c>
    </row>
    <row r="48" spans="1:21" ht="13.5" thickTop="1">
      <c r="C48" s="81"/>
      <c r="E48" s="81"/>
      <c r="I48" s="59"/>
      <c r="M48" s="81"/>
      <c r="O48" s="81"/>
      <c r="Q48" s="81"/>
      <c r="S48" s="59"/>
    </row>
    <row r="49" spans="3:19">
      <c r="C49" s="81"/>
      <c r="E49" s="59"/>
      <c r="G49" s="81"/>
      <c r="M49" s="81"/>
      <c r="O49" s="81"/>
      <c r="Q49" s="81"/>
      <c r="S49" s="81"/>
    </row>
    <row r="50" spans="3:19">
      <c r="C50" s="81"/>
      <c r="E50" s="81"/>
      <c r="G50" s="59"/>
      <c r="M50" s="81"/>
      <c r="O50" s="81"/>
      <c r="Q50" s="81"/>
      <c r="S50" s="81"/>
    </row>
    <row r="51" spans="3:19">
      <c r="C51" s="59"/>
      <c r="E51" s="81"/>
      <c r="G51" s="59"/>
      <c r="M51" s="59"/>
      <c r="O51" s="81"/>
      <c r="Q51" s="81"/>
      <c r="S51" s="81"/>
    </row>
    <row r="52" spans="3:19">
      <c r="E52" s="81"/>
      <c r="O52" s="59"/>
      <c r="Q52" s="81"/>
      <c r="S52" s="81"/>
    </row>
    <row r="53" spans="3:19">
      <c r="E53" s="59"/>
      <c r="O53" s="81"/>
      <c r="Q53" s="81"/>
      <c r="S53" s="59"/>
    </row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conditionalFormatting sqref="A9:A46">
    <cfRule type="duplicateValues" dxfId="5" priority="191"/>
    <cfRule type="duplicateValues" dxfId="4" priority="192"/>
    <cfRule type="duplicateValues" dxfId="3" priority="193"/>
    <cfRule type="duplicateValues" dxfId="2" priority="194"/>
    <cfRule type="duplicateValues" dxfId="1" priority="195"/>
    <cfRule type="duplicateValues" dxfId="0" priority="196"/>
  </conditionalFormatting>
  <pageMargins left="0.39" right="0.39" top="0.39" bottom="0.39" header="0" footer="0"/>
  <pageSetup scale="6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0A4E-7F36-41C7-8226-4E050411462B}">
  <sheetPr>
    <tabColor rgb="FF92D050"/>
    <pageSetUpPr fitToPage="1"/>
  </sheetPr>
  <dimension ref="A1:Q17"/>
  <sheetViews>
    <sheetView rightToLeft="1" view="pageBreakPreview" zoomScale="136" zoomScaleNormal="100" zoomScaleSheetLayoutView="136" workbookViewId="0">
      <selection activeCell="O26" sqref="O26"/>
    </sheetView>
  </sheetViews>
  <sheetFormatPr defaultRowHeight="12.75"/>
  <cols>
    <col min="1" max="1" width="29.7109375" style="49" bestFit="1" customWidth="1"/>
    <col min="2" max="2" width="1.28515625" style="49" customWidth="1"/>
    <col min="3" max="3" width="15.28515625" style="49" bestFit="1" customWidth="1"/>
    <col min="4" max="4" width="1.28515625" style="49" customWidth="1"/>
    <col min="5" max="5" width="16" style="49" bestFit="1" customWidth="1"/>
    <col min="6" max="6" width="1.28515625" style="49" customWidth="1"/>
    <col min="7" max="7" width="15.7109375" style="49" bestFit="1" customWidth="1"/>
    <col min="8" max="8" width="1.28515625" style="49" customWidth="1"/>
    <col min="9" max="9" width="15.5703125" style="49" bestFit="1" customWidth="1"/>
    <col min="10" max="10" width="1.28515625" style="49" customWidth="1"/>
    <col min="11" max="11" width="15.7109375" style="49" bestFit="1" customWidth="1"/>
    <col min="12" max="12" width="1.28515625" style="49" customWidth="1"/>
    <col min="13" max="13" width="15.5703125" style="49" bestFit="1" customWidth="1"/>
    <col min="14" max="14" width="1.28515625" style="49" customWidth="1"/>
    <col min="15" max="15" width="15.7109375" style="49" bestFit="1" customWidth="1"/>
    <col min="16" max="16" width="1.28515625" style="49" customWidth="1"/>
    <col min="17" max="17" width="15.7109375" style="49" bestFit="1" customWidth="1"/>
    <col min="18" max="16384" width="9.140625" style="49"/>
  </cols>
  <sheetData>
    <row r="1" spans="1:17" ht="29.1" customHeight="1">
      <c r="A1" s="129" t="str">
        <f>سهام!A1</f>
        <v>صندوق حفظ ارزش دماوند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7" ht="21.75" customHeight="1">
      <c r="A2" s="129" t="s">
        <v>51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7" ht="21.75" customHeight="1">
      <c r="A3" s="129" t="str">
        <f>سهام!A3</f>
        <v>‫برای ماه منتهی به 31 خرداد  ماه 1405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</row>
    <row r="4" spans="1:17" ht="14.45" customHeight="1"/>
    <row r="5" spans="1:17" ht="14.45" customHeight="1">
      <c r="A5" s="138" t="s">
        <v>117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</row>
    <row r="6" spans="1:17" ht="14.45" customHeight="1">
      <c r="C6" s="132" t="s">
        <v>66</v>
      </c>
      <c r="D6" s="132"/>
      <c r="E6" s="132"/>
      <c r="F6" s="132"/>
      <c r="G6" s="132"/>
      <c r="H6" s="132"/>
      <c r="I6" s="132"/>
      <c r="K6" s="132" t="s">
        <v>67</v>
      </c>
      <c r="L6" s="132"/>
      <c r="M6" s="132"/>
      <c r="N6" s="132"/>
      <c r="O6" s="132"/>
      <c r="P6" s="132"/>
      <c r="Q6" s="132"/>
    </row>
    <row r="7" spans="1:17" ht="14.45" customHeight="1">
      <c r="C7" s="50"/>
      <c r="D7" s="50"/>
      <c r="E7" s="50"/>
      <c r="F7" s="50"/>
      <c r="G7" s="50"/>
      <c r="H7" s="50"/>
      <c r="I7" s="50"/>
      <c r="K7" s="50"/>
      <c r="L7" s="50"/>
      <c r="M7" s="50"/>
      <c r="N7" s="50"/>
      <c r="O7" s="50"/>
      <c r="P7" s="50"/>
      <c r="Q7" s="50"/>
    </row>
    <row r="8" spans="1:17" ht="14.45" customHeight="1">
      <c r="A8" s="65" t="s">
        <v>72</v>
      </c>
      <c r="C8" s="52" t="s">
        <v>73</v>
      </c>
      <c r="E8" s="52" t="s">
        <v>70</v>
      </c>
      <c r="G8" s="52" t="s">
        <v>71</v>
      </c>
      <c r="I8" s="52" t="s">
        <v>26</v>
      </c>
      <c r="K8" s="52" t="s">
        <v>73</v>
      </c>
      <c r="M8" s="52" t="s">
        <v>70</v>
      </c>
      <c r="O8" s="52" t="s">
        <v>71</v>
      </c>
      <c r="Q8" s="52" t="s">
        <v>26</v>
      </c>
    </row>
    <row r="9" spans="1:17" ht="21.75" customHeight="1">
      <c r="A9" s="70" t="s">
        <v>76</v>
      </c>
      <c r="C9" s="109">
        <f>IFERROR(VLOOKUP(A9,'سود اوراق بهادار'!A:Q,7,0),0)</f>
        <v>2080197610</v>
      </c>
      <c r="D9" s="110"/>
      <c r="E9" s="109">
        <f>IFERROR(VLOOKUP(A9,'درآمد ناشی از تغییر قیمت اوراق'!A:Q,9,0),0)</f>
        <v>-159591639</v>
      </c>
      <c r="F9" s="110"/>
      <c r="G9" s="109">
        <f>IFERROR(VLOOKUP(A9,'درآمد ناشی از فروش'!A:Q,9,0),0)</f>
        <v>-24765861</v>
      </c>
      <c r="H9" s="112"/>
      <c r="I9" s="109">
        <f>C9+E9+G9</f>
        <v>1895840110</v>
      </c>
      <c r="J9" s="112"/>
      <c r="K9" s="109">
        <f>IFERROR(VLOOKUP(A9,'سود اوراق بهادار'!A:Q,13,0),0)</f>
        <v>2080197610</v>
      </c>
      <c r="L9" s="109"/>
      <c r="M9" s="109">
        <f>IFERROR(VLOOKUP(A9,'درآمد ناشی از تغییر قیمت اوراق'!A:Q,17,0),0)</f>
        <v>-159591639</v>
      </c>
      <c r="N9" s="109"/>
      <c r="O9" s="109">
        <f>IFERROR(VLOOKUP(A9,'درآمد ناشی از فروش'!A:Q,17,0),0)</f>
        <v>-24765861</v>
      </c>
      <c r="P9" s="112"/>
      <c r="Q9" s="109">
        <f>K9+M9+O9</f>
        <v>1895840110</v>
      </c>
    </row>
    <row r="10" spans="1:17" ht="21.75" customHeight="1">
      <c r="A10" s="69" t="s">
        <v>75</v>
      </c>
      <c r="C10" s="109">
        <f>IFERROR(VLOOKUP(A10,'سود اوراق بهادار'!A:Q,7,0),0)</f>
        <v>24596132</v>
      </c>
      <c r="D10" s="110"/>
      <c r="E10" s="109">
        <f>IFERROR(VLOOKUP(A10,'درآمد ناشی از تغییر قیمت اوراق'!A:Q,9,0),0)</f>
        <v>-150187500</v>
      </c>
      <c r="F10" s="110"/>
      <c r="G10" s="109">
        <f>IFERROR(VLOOKUP(A10,'درآمد ناشی از فروش'!A:Q,9,0),0)</f>
        <v>0</v>
      </c>
      <c r="H10" s="112"/>
      <c r="I10" s="109">
        <f>C10+E10+G10</f>
        <v>-125591368</v>
      </c>
      <c r="J10" s="112"/>
      <c r="K10" s="109">
        <f>IFERROR(VLOOKUP(A10,'سود اوراق بهادار'!A:Q,13,0),0)</f>
        <v>24596132</v>
      </c>
      <c r="L10" s="109"/>
      <c r="M10" s="109">
        <f>IFERROR(VLOOKUP(A10,'درآمد ناشی از تغییر قیمت اوراق'!A:Q,17,0),0)</f>
        <v>-150187500</v>
      </c>
      <c r="N10" s="109"/>
      <c r="O10" s="109">
        <f>IFERROR(VLOOKUP(A10,'درآمد ناشی از فروش'!A:Q,17,0),0)</f>
        <v>0</v>
      </c>
      <c r="P10" s="112"/>
      <c r="Q10" s="109">
        <f t="shared" ref="Q10:Q11" si="0">K10+M10+O10</f>
        <v>-125591368</v>
      </c>
    </row>
    <row r="11" spans="1:17" ht="21.75" customHeight="1">
      <c r="A11" s="69" t="s">
        <v>74</v>
      </c>
      <c r="C11" s="109">
        <f>IFERROR(VLOOKUP(A11,'سود اوراق بهادار'!A:Q,7,0),0)</f>
        <v>1554336893</v>
      </c>
      <c r="D11" s="110"/>
      <c r="E11" s="109">
        <f>IFERROR(VLOOKUP(A11,'درآمد ناشی از تغییر قیمت اوراق'!A:Q,9,0),0)</f>
        <v>0</v>
      </c>
      <c r="F11" s="110"/>
      <c r="G11" s="109">
        <f>IFERROR(VLOOKUP(A11,'درآمد ناشی از فروش'!A:Q,9,0),0)</f>
        <v>59812500</v>
      </c>
      <c r="H11" s="112"/>
      <c r="I11" s="109">
        <f t="shared" ref="I11" si="1">C11+E11+G11</f>
        <v>1614149393</v>
      </c>
      <c r="J11" s="112"/>
      <c r="K11" s="109">
        <f>IFERROR(VLOOKUP(A11,'سود اوراق بهادار'!A:Q,13,0),0)</f>
        <v>1554336893</v>
      </c>
      <c r="L11" s="109"/>
      <c r="M11" s="109">
        <f>IFERROR(VLOOKUP(A11,'درآمد ناشی از تغییر قیمت اوراق'!A:Q,17,0),0)</f>
        <v>0</v>
      </c>
      <c r="N11" s="109"/>
      <c r="O11" s="109">
        <f>IFERROR(VLOOKUP(A11,'درآمد ناشی از فروش'!A:Q,17,0),0)</f>
        <v>59812500</v>
      </c>
      <c r="P11" s="112"/>
      <c r="Q11" s="109">
        <f t="shared" si="0"/>
        <v>1614149393</v>
      </c>
    </row>
    <row r="12" spans="1:17" ht="21.75" customHeight="1" thickBot="1">
      <c r="A12" s="68"/>
      <c r="C12" s="111">
        <f>SUM(C9:C11)</f>
        <v>3659130635</v>
      </c>
      <c r="D12" s="110"/>
      <c r="E12" s="111">
        <f>SUM(E9:E11)</f>
        <v>-309779139</v>
      </c>
      <c r="F12" s="110"/>
      <c r="G12" s="111">
        <f>SUM(G9:G11)</f>
        <v>35046639</v>
      </c>
      <c r="H12" s="110"/>
      <c r="I12" s="113">
        <f>SUM(I9:I11)</f>
        <v>3384398135</v>
      </c>
      <c r="J12" s="110"/>
      <c r="K12" s="113">
        <f>SUM(K9:K11)</f>
        <v>3659130635</v>
      </c>
      <c r="L12" s="110"/>
      <c r="M12" s="113">
        <f>SUM(M9:M11)</f>
        <v>-309779139</v>
      </c>
      <c r="N12" s="110"/>
      <c r="O12" s="113">
        <f>SUM(O9:O11)</f>
        <v>35046639</v>
      </c>
      <c r="P12" s="110"/>
      <c r="Q12" s="113">
        <f>SUM(Q9:Q11)</f>
        <v>3384398135</v>
      </c>
    </row>
    <row r="13" spans="1:17" ht="13.5" thickTop="1">
      <c r="C13" s="66"/>
      <c r="E13" s="66"/>
      <c r="G13" s="66"/>
      <c r="I13" s="67"/>
      <c r="K13" s="66"/>
      <c r="M13" s="66"/>
      <c r="O13" s="66"/>
      <c r="Q13" s="67"/>
    </row>
    <row r="14" spans="1:17">
      <c r="C14" s="66"/>
      <c r="E14" s="66"/>
      <c r="G14" s="66"/>
      <c r="K14" s="66"/>
      <c r="M14" s="66"/>
      <c r="O14" s="66"/>
    </row>
    <row r="15" spans="1:17">
      <c r="E15" s="66"/>
      <c r="G15" s="66"/>
      <c r="O15" s="66"/>
    </row>
    <row r="16" spans="1:17">
      <c r="E16" s="66"/>
      <c r="G16" s="66"/>
      <c r="O16" s="66"/>
    </row>
    <row r="17" spans="15:15">
      <c r="O17" s="67"/>
    </row>
  </sheetData>
  <mergeCells count="6">
    <mergeCell ref="A1:Q1"/>
    <mergeCell ref="A2:Q2"/>
    <mergeCell ref="A3:Q3"/>
    <mergeCell ref="A5:Q5"/>
    <mergeCell ref="C6:I6"/>
    <mergeCell ref="K6:Q6"/>
  </mergeCells>
  <pageMargins left="0.39" right="0.39" top="0.39" bottom="0.39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0</vt:lpstr>
      <vt:lpstr>سهام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سود ترجیحی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cp:lastPrinted>2026-05-25T09:39:10Z</cp:lastPrinted>
  <dcterms:created xsi:type="dcterms:W3CDTF">2025-11-25T05:01:31Z</dcterms:created>
  <dcterms:modified xsi:type="dcterms:W3CDTF">2026-06-29T10:46:04Z</dcterms:modified>
</cp:coreProperties>
</file>