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AF\حسابداری صندوق\10-حفظ ارزش دماوند\عملیات حسابداری\پرتفوی ماهانه\1405\05\"/>
    </mc:Choice>
  </mc:AlternateContent>
  <xr:revisionPtr revIDLastSave="0" documentId="13_ncr:1_{57501CD8-3B73-41E1-B6EB-C8F6B4835FEB}" xr6:coauthVersionLast="47" xr6:coauthVersionMax="47" xr10:uidLastSave="{00000000-0000-0000-0000-000000000000}"/>
  <bookViews>
    <workbookView xWindow="-120" yWindow="-120" windowWidth="29040" windowHeight="15840" tabRatio="958" xr2:uid="{00000000-000D-0000-FFFF-FFFF00000000}"/>
  </bookViews>
  <sheets>
    <sheet name="0" sheetId="22" r:id="rId1"/>
    <sheet name="سهام" sheetId="2" r:id="rId2"/>
    <sheet name="اوراق مشتقه" sheetId="30" r:id="rId3"/>
    <sheet name="اوراق" sheetId="5" r:id="rId4"/>
    <sheet name="تعدیل قیمت" sheetId="29" r:id="rId5"/>
    <sheet name="سپرده" sheetId="7" r:id="rId6"/>
    <sheet name="درآمد" sheetId="8" r:id="rId7"/>
    <sheet name="درآمد سرمایه گذاری در سهام" sheetId="25" r:id="rId8"/>
    <sheet name="درآمد سرمایه گذاری در اوراق به" sheetId="26" r:id="rId9"/>
    <sheet name="درآمد سپرده بانکی" sheetId="27" r:id="rId10"/>
    <sheet name="سایر درآمدها" sheetId="14" r:id="rId11"/>
    <sheet name="سود ترجیحی" sheetId="23" r:id="rId12"/>
    <sheet name="درآمد سود سهام" sheetId="15" r:id="rId13"/>
    <sheet name="سود اوراق بهادار" sheetId="17" r:id="rId14"/>
    <sheet name="سود سپرده بانکی" sheetId="18" r:id="rId15"/>
    <sheet name="درآمد ناشی از فروش" sheetId="19" r:id="rId16"/>
    <sheet name="درآمد ناشی از تغییر قیمت اوراق" sheetId="31" r:id="rId17"/>
  </sheets>
  <externalReferences>
    <externalReference r:id="rId18"/>
  </externalReferences>
  <definedNames>
    <definedName name="_xlnm._FilterDatabase" localSheetId="7" hidden="1">'درآمد سرمایه گذاری در سهام'!$A$8:$U$8</definedName>
    <definedName name="_xlnm.Print_Area" localSheetId="3">اوراق!$A$1:$AI$11</definedName>
    <definedName name="_xlnm.Print_Area" localSheetId="2">'اوراق مشتقه'!$A$1:$AS$12</definedName>
    <definedName name="_xlnm.Print_Area" localSheetId="4">'تعدیل قیمت'!$A$1:$M$11</definedName>
    <definedName name="_xlnm.Print_Area" localSheetId="6">درآمد!$A$1:$K$12</definedName>
    <definedName name="_xlnm.Print_Area" localSheetId="9">'درآمد سپرده بانکی'!$A$1:$J$13</definedName>
    <definedName name="_xlnm.Print_Area" localSheetId="8">'درآمد سرمایه گذاری در اوراق به'!$A$1:$Q$12</definedName>
    <definedName name="_xlnm.Print_Area" localSheetId="7">'درآمد سرمایه گذاری در سهام'!$A$1:$U$56</definedName>
    <definedName name="_xlnm.Print_Area" localSheetId="12">'درآمد سود سهام'!$A$1:$S$26</definedName>
    <definedName name="_xlnm.Print_Area" localSheetId="16">'درآمد ناشی از تغییر قیمت اوراق'!$A$1:$Q$43</definedName>
    <definedName name="_xlnm.Print_Area" localSheetId="15">'درآمد ناشی از فروش'!$A$1:$Q$35</definedName>
    <definedName name="_xlnm.Print_Area" localSheetId="10">'سایر درآمدها'!$A$1:$F$11</definedName>
    <definedName name="_xlnm.Print_Area" localSheetId="5">سپرده!$A$1:$L$13</definedName>
    <definedName name="_xlnm.Print_Area" localSheetId="13">'سود اوراق بهادار'!$A$1:$R$11</definedName>
    <definedName name="_xlnm.Print_Area" localSheetId="11">'سود ترجیحی'!$A$1:$H$17</definedName>
    <definedName name="_xlnm.Print_Area" localSheetId="14">'سود سپرده بانکی'!$A$1:$N$13</definedName>
    <definedName name="_xlnm.Print_Area" localSheetId="1">سهام!$A$1:$Y$42</definedName>
  </definedNames>
  <calcPr calcId="191029"/>
</workbook>
</file>

<file path=xl/calcChain.xml><?xml version="1.0" encoding="utf-8"?>
<calcChain xmlns="http://schemas.openxmlformats.org/spreadsheetml/2006/main">
  <c r="I9" i="31" l="1"/>
  <c r="I10" i="31"/>
  <c r="I11" i="31"/>
  <c r="I12" i="31"/>
  <c r="I13" i="31"/>
  <c r="I14" i="31"/>
  <c r="I15" i="31"/>
  <c r="I16" i="31"/>
  <c r="I17" i="31"/>
  <c r="I18" i="31"/>
  <c r="I19" i="31"/>
  <c r="I20" i="31"/>
  <c r="I21" i="31"/>
  <c r="I22" i="31"/>
  <c r="I23" i="31"/>
  <c r="I24" i="31"/>
  <c r="I25" i="31"/>
  <c r="I26" i="31"/>
  <c r="I27" i="31"/>
  <c r="I28" i="31"/>
  <c r="I29" i="31"/>
  <c r="I30" i="31"/>
  <c r="I31" i="31"/>
  <c r="I32" i="31"/>
  <c r="I33" i="31"/>
  <c r="I34" i="31"/>
  <c r="I35" i="31"/>
  <c r="I36" i="31"/>
  <c r="I37" i="31"/>
  <c r="I38" i="31"/>
  <c r="I39" i="31"/>
  <c r="I40" i="31"/>
  <c r="I41" i="31"/>
  <c r="I42" i="31"/>
  <c r="I8" i="31"/>
  <c r="Q9" i="31"/>
  <c r="Q10" i="31"/>
  <c r="Q11" i="31"/>
  <c r="Q12" i="31"/>
  <c r="Q13" i="31"/>
  <c r="Q14" i="31"/>
  <c r="Q15" i="31"/>
  <c r="Q16" i="31"/>
  <c r="Q17" i="31"/>
  <c r="Q18" i="31"/>
  <c r="Q19" i="31"/>
  <c r="Q20" i="31"/>
  <c r="Q21" i="31"/>
  <c r="Q22" i="31"/>
  <c r="Q23" i="31"/>
  <c r="Q24" i="31"/>
  <c r="Q25" i="31"/>
  <c r="Q26" i="31"/>
  <c r="Q27" i="31"/>
  <c r="Q28" i="31"/>
  <c r="Q29" i="31"/>
  <c r="Q30" i="31"/>
  <c r="Q31" i="31"/>
  <c r="Q32" i="31"/>
  <c r="Q33" i="31"/>
  <c r="Q34" i="31"/>
  <c r="Q35" i="31"/>
  <c r="Q36" i="31"/>
  <c r="Q37" i="31"/>
  <c r="Q38" i="31"/>
  <c r="Q39" i="31"/>
  <c r="Q8" i="31"/>
  <c r="Q43" i="31" s="1"/>
  <c r="I9" i="19"/>
  <c r="I35" i="19" s="1"/>
  <c r="I10" i="19"/>
  <c r="I11" i="19"/>
  <c r="I12" i="19"/>
  <c r="I13" i="19"/>
  <c r="I14" i="19"/>
  <c r="I15" i="19"/>
  <c r="I16" i="19"/>
  <c r="I17" i="19"/>
  <c r="I18" i="19"/>
  <c r="I19" i="19"/>
  <c r="I20" i="19"/>
  <c r="I21" i="19"/>
  <c r="I22" i="19"/>
  <c r="I23" i="19"/>
  <c r="I24" i="19"/>
  <c r="I25" i="19"/>
  <c r="I26" i="19"/>
  <c r="I27" i="19"/>
  <c r="I28" i="19"/>
  <c r="I29" i="19"/>
  <c r="I30" i="19"/>
  <c r="I31" i="19"/>
  <c r="I32" i="19"/>
  <c r="I33" i="19"/>
  <c r="I34" i="19"/>
  <c r="I8" i="19"/>
  <c r="Q9" i="19"/>
  <c r="Q10" i="19"/>
  <c r="Q11" i="19"/>
  <c r="Q12" i="19"/>
  <c r="Q13" i="19"/>
  <c r="Q14" i="19"/>
  <c r="Q15" i="19"/>
  <c r="Q16" i="19"/>
  <c r="Q17" i="19"/>
  <c r="Q18" i="19"/>
  <c r="Q19" i="19"/>
  <c r="Q20" i="19"/>
  <c r="Q21" i="19"/>
  <c r="Q22" i="19"/>
  <c r="Q23" i="19"/>
  <c r="Q24" i="19"/>
  <c r="Q25" i="19"/>
  <c r="Q26" i="19"/>
  <c r="Q27" i="19"/>
  <c r="Q28" i="19"/>
  <c r="Q29" i="19"/>
  <c r="Q30" i="19"/>
  <c r="Q31" i="19"/>
  <c r="Q32" i="19"/>
  <c r="Q33" i="19"/>
  <c r="Q34" i="19"/>
  <c r="Q8" i="19"/>
  <c r="S25" i="15"/>
  <c r="S9" i="15"/>
  <c r="S10" i="15"/>
  <c r="S11" i="15"/>
  <c r="S12" i="15"/>
  <c r="S13" i="15"/>
  <c r="S14" i="15"/>
  <c r="S15" i="15"/>
  <c r="S16" i="15"/>
  <c r="S17" i="15"/>
  <c r="S18" i="15"/>
  <c r="S19" i="15"/>
  <c r="S20" i="15"/>
  <c r="S21" i="15"/>
  <c r="S22" i="15"/>
  <c r="S23" i="15"/>
  <c r="S24" i="15"/>
  <c r="S8" i="15"/>
  <c r="M9" i="15"/>
  <c r="M10" i="15"/>
  <c r="M11" i="15"/>
  <c r="M12" i="15"/>
  <c r="M13" i="15"/>
  <c r="M14" i="15"/>
  <c r="M15" i="15"/>
  <c r="M16" i="15"/>
  <c r="M17" i="15"/>
  <c r="M18" i="15"/>
  <c r="M19" i="15"/>
  <c r="M20" i="15"/>
  <c r="M21" i="15"/>
  <c r="M22" i="15"/>
  <c r="M23" i="15"/>
  <c r="M24" i="15"/>
  <c r="M25" i="15"/>
  <c r="M8" i="15"/>
  <c r="I26" i="15"/>
  <c r="AA10" i="5"/>
  <c r="AA9" i="5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9" i="2"/>
  <c r="Y10" i="2" l="1"/>
  <c r="Y11" i="2"/>
  <c r="Y12" i="2"/>
  <c r="Y13" i="2"/>
  <c r="Y14" i="2"/>
  <c r="Y15" i="2"/>
  <c r="Y16" i="2"/>
  <c r="Y17" i="2"/>
  <c r="Y18" i="2"/>
  <c r="Y19" i="2"/>
  <c r="Y20" i="2"/>
  <c r="Y21" i="2"/>
  <c r="Y22" i="2"/>
  <c r="Y23" i="2"/>
  <c r="Y24" i="2"/>
  <c r="Y25" i="2"/>
  <c r="Y26" i="2"/>
  <c r="Y27" i="2"/>
  <c r="Y28" i="2"/>
  <c r="Y29" i="2"/>
  <c r="Y30" i="2"/>
  <c r="Y31" i="2"/>
  <c r="Y32" i="2"/>
  <c r="Y33" i="2"/>
  <c r="Y34" i="2"/>
  <c r="Y35" i="2"/>
  <c r="Y36" i="2"/>
  <c r="Y37" i="2"/>
  <c r="Y38" i="2"/>
  <c r="Y39" i="2"/>
  <c r="Y40" i="2"/>
  <c r="Y41" i="2"/>
  <c r="Y9" i="2"/>
  <c r="C13" i="18"/>
  <c r="I43" i="31"/>
  <c r="O43" i="31"/>
  <c r="M43" i="31"/>
  <c r="E43" i="31"/>
  <c r="G43" i="31"/>
  <c r="Q35" i="19"/>
  <c r="E35" i="19"/>
  <c r="G35" i="19"/>
  <c r="M35" i="19"/>
  <c r="O35" i="19"/>
  <c r="M11" i="18"/>
  <c r="G11" i="18"/>
  <c r="Q9" i="17"/>
  <c r="Q10" i="17"/>
  <c r="Q8" i="17"/>
  <c r="Q11" i="17" s="1"/>
  <c r="K9" i="17"/>
  <c r="K10" i="17"/>
  <c r="K8" i="17"/>
  <c r="K11" i="17" l="1"/>
  <c r="I9" i="7"/>
  <c r="K9" i="7" s="1"/>
  <c r="I10" i="7"/>
  <c r="K10" i="7" s="1"/>
  <c r="I11" i="7"/>
  <c r="K11" i="7" s="1"/>
  <c r="I12" i="7"/>
  <c r="K12" i="7" s="1"/>
  <c r="I8" i="7"/>
  <c r="K8" i="7" s="1"/>
  <c r="K13" i="7" s="1"/>
  <c r="AI10" i="5"/>
  <c r="AI9" i="5"/>
  <c r="AI11" i="5" s="1"/>
  <c r="O11" i="5"/>
  <c r="Q11" i="5"/>
  <c r="U11" i="5"/>
  <c r="Y11" i="5"/>
  <c r="AE11" i="5"/>
  <c r="AG11" i="5"/>
  <c r="F11" i="23"/>
  <c r="E9" i="23"/>
  <c r="E10" i="23"/>
  <c r="E11" i="23" l="1"/>
  <c r="Y42" i="2"/>
  <c r="G11" i="17"/>
  <c r="I11" i="17"/>
  <c r="M11" i="17"/>
  <c r="O11" i="17"/>
  <c r="S26" i="15"/>
  <c r="C13" i="7"/>
  <c r="G13" i="7"/>
  <c r="E13" i="7"/>
  <c r="K11" i="29" l="1"/>
  <c r="O26" i="15" l="1"/>
  <c r="K26" i="15"/>
  <c r="Q26" i="15"/>
  <c r="W42" i="2"/>
  <c r="U42" i="2"/>
  <c r="O42" i="2"/>
  <c r="K42" i="2"/>
  <c r="G42" i="2"/>
  <c r="E42" i="2"/>
  <c r="I13" i="7" l="1"/>
  <c r="A3" i="5" l="1"/>
  <c r="A3" i="30"/>
  <c r="A3" i="2"/>
  <c r="A3" i="31" s="1"/>
  <c r="G12" i="18"/>
  <c r="O15" i="25" l="1"/>
  <c r="O27" i="25"/>
  <c r="O39" i="25"/>
  <c r="O51" i="25"/>
  <c r="E21" i="25"/>
  <c r="E33" i="25"/>
  <c r="E45" i="25"/>
  <c r="E31" i="25"/>
  <c r="O50" i="25"/>
  <c r="O16" i="25"/>
  <c r="O28" i="25"/>
  <c r="O40" i="25"/>
  <c r="O52" i="25"/>
  <c r="E10" i="25"/>
  <c r="E22" i="25"/>
  <c r="E34" i="25"/>
  <c r="E46" i="25"/>
  <c r="E50" i="25"/>
  <c r="O49" i="25"/>
  <c r="E20" i="25"/>
  <c r="O17" i="25"/>
  <c r="O29" i="25"/>
  <c r="O41" i="25"/>
  <c r="O53" i="25"/>
  <c r="E11" i="25"/>
  <c r="E23" i="25"/>
  <c r="E35" i="25"/>
  <c r="E47" i="25"/>
  <c r="O32" i="25"/>
  <c r="E38" i="25"/>
  <c r="E19" i="25"/>
  <c r="E44" i="25"/>
  <c r="O18" i="25"/>
  <c r="O30" i="25"/>
  <c r="O42" i="25"/>
  <c r="O9" i="25"/>
  <c r="E12" i="25"/>
  <c r="E24" i="25"/>
  <c r="E36" i="25"/>
  <c r="E48" i="25"/>
  <c r="O20" i="25"/>
  <c r="E14" i="25"/>
  <c r="O13" i="25"/>
  <c r="E32" i="25"/>
  <c r="O19" i="25"/>
  <c r="O31" i="25"/>
  <c r="O43" i="25"/>
  <c r="E13" i="25"/>
  <c r="E25" i="25"/>
  <c r="E37" i="25"/>
  <c r="E49" i="25"/>
  <c r="O44" i="25"/>
  <c r="E26" i="25"/>
  <c r="O21" i="25"/>
  <c r="O33" i="25"/>
  <c r="O45" i="25"/>
  <c r="E15" i="25"/>
  <c r="E27" i="25"/>
  <c r="E39" i="25"/>
  <c r="E51" i="25"/>
  <c r="O36" i="25"/>
  <c r="E30" i="25"/>
  <c r="O37" i="25"/>
  <c r="O14" i="25"/>
  <c r="O10" i="25"/>
  <c r="O22" i="25"/>
  <c r="O34" i="25"/>
  <c r="O46" i="25"/>
  <c r="E16" i="25"/>
  <c r="E28" i="25"/>
  <c r="E40" i="25"/>
  <c r="E52" i="25"/>
  <c r="O48" i="25"/>
  <c r="E42" i="25"/>
  <c r="E43" i="25"/>
  <c r="O26" i="25"/>
  <c r="O11" i="25"/>
  <c r="O23" i="25"/>
  <c r="O35" i="25"/>
  <c r="O47" i="25"/>
  <c r="E17" i="25"/>
  <c r="E29" i="25"/>
  <c r="E41" i="25"/>
  <c r="E53" i="25"/>
  <c r="O12" i="25"/>
  <c r="O24" i="25"/>
  <c r="E18" i="25"/>
  <c r="E9" i="25"/>
  <c r="O25" i="25"/>
  <c r="O38" i="25"/>
  <c r="E10" i="26"/>
  <c r="E9" i="26"/>
  <c r="E11" i="26"/>
  <c r="M10" i="26"/>
  <c r="M11" i="26"/>
  <c r="M9" i="26"/>
  <c r="E11" i="14"/>
  <c r="F11" i="8" s="1"/>
  <c r="J11" i="8" s="1"/>
  <c r="O54" i="25" l="1"/>
  <c r="E54" i="25"/>
  <c r="M12" i="26"/>
  <c r="M9" i="18"/>
  <c r="M10" i="18"/>
  <c r="M12" i="18"/>
  <c r="M8" i="18"/>
  <c r="G8" i="18"/>
  <c r="G9" i="18"/>
  <c r="G10" i="18"/>
  <c r="M26" i="15"/>
  <c r="G13" i="18" l="1"/>
  <c r="M13" i="18"/>
  <c r="A3" i="29"/>
  <c r="A3" i="23" l="1"/>
  <c r="A3" i="19"/>
  <c r="A3" i="18"/>
  <c r="A3" i="17"/>
  <c r="A3" i="15"/>
  <c r="A3" i="14"/>
  <c r="A3" i="27"/>
  <c r="A3" i="26"/>
  <c r="A3" i="25"/>
  <c r="A3" i="8"/>
  <c r="A3" i="7"/>
  <c r="K13" i="18" l="1"/>
  <c r="I13" i="18"/>
  <c r="E13" i="18"/>
  <c r="A1" i="26"/>
  <c r="A1" i="27"/>
  <c r="A1" i="25"/>
  <c r="A1" i="23" l="1"/>
  <c r="A1" i="19"/>
  <c r="A1" i="18"/>
  <c r="A1" i="17"/>
  <c r="A1" i="15"/>
  <c r="A1" i="14"/>
  <c r="A1" i="8"/>
  <c r="A1" i="7"/>
  <c r="A1" i="5"/>
  <c r="C11" i="14"/>
  <c r="M12" i="25" l="1"/>
  <c r="M24" i="25"/>
  <c r="M36" i="25"/>
  <c r="M48" i="25"/>
  <c r="C15" i="25"/>
  <c r="C27" i="25"/>
  <c r="C39" i="25"/>
  <c r="C51" i="25"/>
  <c r="M17" i="25"/>
  <c r="M29" i="25"/>
  <c r="M41" i="25"/>
  <c r="C20" i="25"/>
  <c r="I20" i="25" s="1"/>
  <c r="K20" i="25" s="1"/>
  <c r="M11" i="25"/>
  <c r="M23" i="25"/>
  <c r="M35" i="25"/>
  <c r="M13" i="25"/>
  <c r="M25" i="25"/>
  <c r="M37" i="25"/>
  <c r="M49" i="25"/>
  <c r="C16" i="25"/>
  <c r="C28" i="25"/>
  <c r="C40" i="25"/>
  <c r="C52" i="25"/>
  <c r="M53" i="25"/>
  <c r="S53" i="25" s="1"/>
  <c r="C44" i="25"/>
  <c r="M46" i="25"/>
  <c r="M47" i="25"/>
  <c r="M14" i="25"/>
  <c r="M26" i="25"/>
  <c r="M38" i="25"/>
  <c r="M50" i="25"/>
  <c r="C17" i="25"/>
  <c r="C29" i="25"/>
  <c r="C41" i="25"/>
  <c r="C53" i="25"/>
  <c r="C30" i="25"/>
  <c r="C49" i="25"/>
  <c r="M15" i="25"/>
  <c r="M27" i="25"/>
  <c r="M39" i="25"/>
  <c r="M51" i="25"/>
  <c r="C18" i="25"/>
  <c r="C42" i="25"/>
  <c r="C9" i="25"/>
  <c r="C32" i="25"/>
  <c r="C37" i="25"/>
  <c r="C50" i="25"/>
  <c r="M16" i="25"/>
  <c r="S16" i="25" s="1"/>
  <c r="M28" i="25"/>
  <c r="M40" i="25"/>
  <c r="M52" i="25"/>
  <c r="C19" i="25"/>
  <c r="C31" i="25"/>
  <c r="C43" i="25"/>
  <c r="M10" i="25"/>
  <c r="M34" i="25"/>
  <c r="C13" i="25"/>
  <c r="M18" i="25"/>
  <c r="M30" i="25"/>
  <c r="M42" i="25"/>
  <c r="S42" i="25" s="1"/>
  <c r="M9" i="25"/>
  <c r="C21" i="25"/>
  <c r="C33" i="25"/>
  <c r="C45" i="25"/>
  <c r="M33" i="25"/>
  <c r="C24" i="25"/>
  <c r="C48" i="25"/>
  <c r="M22" i="25"/>
  <c r="C25" i="25"/>
  <c r="C38" i="25"/>
  <c r="M19" i="25"/>
  <c r="M31" i="25"/>
  <c r="S31" i="25" s="1"/>
  <c r="M43" i="25"/>
  <c r="C10" i="25"/>
  <c r="C22" i="25"/>
  <c r="C34" i="25"/>
  <c r="C46" i="25"/>
  <c r="C26" i="25"/>
  <c r="M20" i="25"/>
  <c r="M32" i="25"/>
  <c r="M44" i="25"/>
  <c r="C11" i="25"/>
  <c r="C23" i="25"/>
  <c r="C35" i="25"/>
  <c r="I35" i="25" s="1"/>
  <c r="K35" i="25" s="1"/>
  <c r="C47" i="25"/>
  <c r="M21" i="25"/>
  <c r="M45" i="25"/>
  <c r="C12" i="25"/>
  <c r="C36" i="25"/>
  <c r="C14" i="25"/>
  <c r="G9" i="27"/>
  <c r="G10" i="27"/>
  <c r="G11" i="27"/>
  <c r="G12" i="27"/>
  <c r="G8" i="27"/>
  <c r="C9" i="27"/>
  <c r="C10" i="27"/>
  <c r="C11" i="27"/>
  <c r="C12" i="27"/>
  <c r="C8" i="27"/>
  <c r="Q21" i="25"/>
  <c r="Q10" i="25"/>
  <c r="Q12" i="25"/>
  <c r="Q24" i="25"/>
  <c r="Q36" i="25"/>
  <c r="Q48" i="25"/>
  <c r="G18" i="25"/>
  <c r="G30" i="25"/>
  <c r="G42" i="25"/>
  <c r="G9" i="25"/>
  <c r="G23" i="25"/>
  <c r="G28" i="25"/>
  <c r="Q35" i="25"/>
  <c r="Q13" i="25"/>
  <c r="Q25" i="25"/>
  <c r="Q37" i="25"/>
  <c r="Q49" i="25"/>
  <c r="G19" i="25"/>
  <c r="G31" i="25"/>
  <c r="G43" i="25"/>
  <c r="G35" i="25"/>
  <c r="Q22" i="25"/>
  <c r="Q47" i="25"/>
  <c r="G29" i="25"/>
  <c r="Q14" i="25"/>
  <c r="Q26" i="25"/>
  <c r="Q38" i="25"/>
  <c r="Q50" i="25"/>
  <c r="G20" i="25"/>
  <c r="G32" i="25"/>
  <c r="G44" i="25"/>
  <c r="Q41" i="25"/>
  <c r="G47" i="25"/>
  <c r="Q34" i="25"/>
  <c r="G16" i="25"/>
  <c r="G52" i="25"/>
  <c r="G41" i="25"/>
  <c r="Q15" i="25"/>
  <c r="Q27" i="25"/>
  <c r="Q39" i="25"/>
  <c r="Q51" i="25"/>
  <c r="G21" i="25"/>
  <c r="G33" i="25"/>
  <c r="G45" i="25"/>
  <c r="Q17" i="25"/>
  <c r="Q23" i="25"/>
  <c r="G17" i="25"/>
  <c r="G53" i="25"/>
  <c r="Q16" i="25"/>
  <c r="Q28" i="25"/>
  <c r="Q40" i="25"/>
  <c r="Q52" i="25"/>
  <c r="G10" i="25"/>
  <c r="G22" i="25"/>
  <c r="G34" i="25"/>
  <c r="G46" i="25"/>
  <c r="Q29" i="25"/>
  <c r="Q53" i="25"/>
  <c r="G11" i="25"/>
  <c r="G40" i="25"/>
  <c r="Q18" i="25"/>
  <c r="Q30" i="25"/>
  <c r="Q42" i="25"/>
  <c r="Q9" i="25"/>
  <c r="G12" i="25"/>
  <c r="G24" i="25"/>
  <c r="G36" i="25"/>
  <c r="G48" i="25"/>
  <c r="Q19" i="25"/>
  <c r="Q31" i="25"/>
  <c r="Q43" i="25"/>
  <c r="G13" i="25"/>
  <c r="G25" i="25"/>
  <c r="G37" i="25"/>
  <c r="G49" i="25"/>
  <c r="Q46" i="25"/>
  <c r="Q11" i="25"/>
  <c r="Q20" i="25"/>
  <c r="Q32" i="25"/>
  <c r="Q44" i="25"/>
  <c r="G14" i="25"/>
  <c r="G26" i="25"/>
  <c r="G38" i="25"/>
  <c r="G50" i="25"/>
  <c r="Q33" i="25"/>
  <c r="Q45" i="25"/>
  <c r="G15" i="25"/>
  <c r="G27" i="25"/>
  <c r="G39" i="25"/>
  <c r="G51" i="25"/>
  <c r="C10" i="26"/>
  <c r="K9" i="26"/>
  <c r="C11" i="26"/>
  <c r="C9" i="26"/>
  <c r="K10" i="26"/>
  <c r="K11" i="26"/>
  <c r="G10" i="26"/>
  <c r="G11" i="26"/>
  <c r="O10" i="26"/>
  <c r="O11" i="26"/>
  <c r="G9" i="26"/>
  <c r="O9" i="26"/>
  <c r="M11" i="8"/>
  <c r="K11" i="8"/>
  <c r="L11" i="8"/>
  <c r="I23" i="25" l="1"/>
  <c r="K23" i="25" s="1"/>
  <c r="S19" i="25"/>
  <c r="S30" i="25"/>
  <c r="I50" i="25"/>
  <c r="K50" i="25" s="1"/>
  <c r="I53" i="25"/>
  <c r="K53" i="25" s="1"/>
  <c r="I52" i="25"/>
  <c r="K52" i="25" s="1"/>
  <c r="S41" i="25"/>
  <c r="I11" i="25"/>
  <c r="K11" i="25" s="1"/>
  <c r="I38" i="25"/>
  <c r="K38" i="25" s="1"/>
  <c r="S18" i="25"/>
  <c r="I37" i="25"/>
  <c r="K37" i="25" s="1"/>
  <c r="I41" i="25"/>
  <c r="K41" i="25" s="1"/>
  <c r="I40" i="25"/>
  <c r="K40" i="25" s="1"/>
  <c r="S29" i="25"/>
  <c r="S44" i="25"/>
  <c r="I25" i="25"/>
  <c r="K25" i="25" s="1"/>
  <c r="I13" i="25"/>
  <c r="K13" i="25" s="1"/>
  <c r="I32" i="25"/>
  <c r="K32" i="25" s="1"/>
  <c r="I29" i="25"/>
  <c r="K29" i="25" s="1"/>
  <c r="I28" i="25"/>
  <c r="K28" i="25" s="1"/>
  <c r="S17" i="25"/>
  <c r="S32" i="25"/>
  <c r="S22" i="25"/>
  <c r="S34" i="25"/>
  <c r="I9" i="25"/>
  <c r="K9" i="25" s="1"/>
  <c r="I17" i="25"/>
  <c r="K17" i="25" s="1"/>
  <c r="I16" i="25"/>
  <c r="K16" i="25" s="1"/>
  <c r="I51" i="25"/>
  <c r="K51" i="25" s="1"/>
  <c r="S20" i="25"/>
  <c r="I48" i="25"/>
  <c r="K48" i="25" s="1"/>
  <c r="S10" i="25"/>
  <c r="I42" i="25"/>
  <c r="K42" i="25" s="1"/>
  <c r="S50" i="25"/>
  <c r="S49" i="25"/>
  <c r="I39" i="25"/>
  <c r="K39" i="25" s="1"/>
  <c r="I14" i="25"/>
  <c r="K14" i="25" s="1"/>
  <c r="I26" i="25"/>
  <c r="K26" i="25" s="1"/>
  <c r="I24" i="25"/>
  <c r="K24" i="25" s="1"/>
  <c r="I43" i="25"/>
  <c r="K43" i="25" s="1"/>
  <c r="I18" i="25"/>
  <c r="K18" i="25" s="1"/>
  <c r="S38" i="25"/>
  <c r="S37" i="25"/>
  <c r="I27" i="25"/>
  <c r="K27" i="25" s="1"/>
  <c r="I36" i="25"/>
  <c r="K36" i="25" s="1"/>
  <c r="I46" i="25"/>
  <c r="K46" i="25" s="1"/>
  <c r="S33" i="25"/>
  <c r="I31" i="25"/>
  <c r="K31" i="25" s="1"/>
  <c r="S51" i="25"/>
  <c r="S26" i="25"/>
  <c r="S25" i="25"/>
  <c r="I15" i="25"/>
  <c r="K15" i="25" s="1"/>
  <c r="I12" i="25"/>
  <c r="K12" i="25" s="1"/>
  <c r="I34" i="25"/>
  <c r="K34" i="25" s="1"/>
  <c r="I45" i="25"/>
  <c r="K45" i="25" s="1"/>
  <c r="I19" i="25"/>
  <c r="K19" i="25" s="1"/>
  <c r="S39" i="25"/>
  <c r="S14" i="25"/>
  <c r="S13" i="25"/>
  <c r="S48" i="25"/>
  <c r="I30" i="25"/>
  <c r="K30" i="25" s="1"/>
  <c r="S45" i="25"/>
  <c r="I22" i="25"/>
  <c r="K22" i="25" s="1"/>
  <c r="I33" i="25"/>
  <c r="K33" i="25" s="1"/>
  <c r="S52" i="25"/>
  <c r="S27" i="25"/>
  <c r="S47" i="25"/>
  <c r="S35" i="25"/>
  <c r="S36" i="25"/>
  <c r="G54" i="25"/>
  <c r="S21" i="25"/>
  <c r="I10" i="25"/>
  <c r="K10" i="25" s="1"/>
  <c r="I21" i="25"/>
  <c r="K21" i="25" s="1"/>
  <c r="S40" i="25"/>
  <c r="S15" i="25"/>
  <c r="S46" i="25"/>
  <c r="S23" i="25"/>
  <c r="S24" i="25"/>
  <c r="I47" i="25"/>
  <c r="K47" i="25" s="1"/>
  <c r="S43" i="25"/>
  <c r="S9" i="25"/>
  <c r="S28" i="25"/>
  <c r="I49" i="25"/>
  <c r="K49" i="25" s="1"/>
  <c r="I44" i="25"/>
  <c r="K44" i="25" s="1"/>
  <c r="S11" i="25"/>
  <c r="S12" i="25"/>
  <c r="C54" i="25"/>
  <c r="G13" i="27"/>
  <c r="M54" i="25"/>
  <c r="Q54" i="25"/>
  <c r="C13" i="27"/>
  <c r="Q11" i="26"/>
  <c r="I9" i="26"/>
  <c r="Q10" i="26"/>
  <c r="I11" i="26"/>
  <c r="Q9" i="26"/>
  <c r="I10" i="26"/>
  <c r="O12" i="26"/>
  <c r="G12" i="26"/>
  <c r="E12" i="26"/>
  <c r="K12" i="26"/>
  <c r="C12" i="26"/>
  <c r="E12" i="27" l="1"/>
  <c r="I12" i="27"/>
  <c r="S54" i="25"/>
  <c r="F8" i="8" s="1"/>
  <c r="J8" i="8" s="1"/>
  <c r="I12" i="26"/>
  <c r="K54" i="25"/>
  <c r="I54" i="25"/>
  <c r="F10" i="8"/>
  <c r="J10" i="8" s="1"/>
  <c r="M10" i="8"/>
  <c r="Q12" i="26"/>
  <c r="F9" i="8" s="1"/>
  <c r="J9" i="8" s="1"/>
  <c r="E9" i="27"/>
  <c r="L10" i="8"/>
  <c r="L8" i="8"/>
  <c r="I10" i="27"/>
  <c r="E10" i="27"/>
  <c r="E11" i="27"/>
  <c r="I9" i="27"/>
  <c r="E8" i="27"/>
  <c r="K10" i="8"/>
  <c r="K8" i="8"/>
  <c r="I8" i="27"/>
  <c r="I11" i="27"/>
  <c r="E13" i="27" l="1"/>
  <c r="I13" i="27"/>
  <c r="F12" i="8"/>
  <c r="M8" i="8"/>
  <c r="M9" i="8"/>
  <c r="J12" i="8"/>
  <c r="K9" i="8"/>
  <c r="K12" i="8" s="1"/>
  <c r="K15" i="8" s="1"/>
  <c r="L9" i="8"/>
  <c r="L12" i="8" s="1"/>
  <c r="U11" i="25" l="1"/>
  <c r="U23" i="25"/>
  <c r="U35" i="25"/>
  <c r="U47" i="25"/>
  <c r="U37" i="25"/>
  <c r="U32" i="25"/>
  <c r="U22" i="25"/>
  <c r="U12" i="25"/>
  <c r="U24" i="25"/>
  <c r="U36" i="25"/>
  <c r="U48" i="25"/>
  <c r="U25" i="25"/>
  <c r="U49" i="25"/>
  <c r="U45" i="25"/>
  <c r="U13" i="25"/>
  <c r="U14" i="25"/>
  <c r="U26" i="25"/>
  <c r="U38" i="25"/>
  <c r="U50" i="25"/>
  <c r="U17" i="25"/>
  <c r="U41" i="25"/>
  <c r="U44" i="25"/>
  <c r="U33" i="25"/>
  <c r="U10" i="25"/>
  <c r="U15" i="25"/>
  <c r="U27" i="25"/>
  <c r="U39" i="25"/>
  <c r="U51" i="25"/>
  <c r="U46" i="25"/>
  <c r="U16" i="25"/>
  <c r="U28" i="25"/>
  <c r="U40" i="25"/>
  <c r="U52" i="25"/>
  <c r="U29" i="25"/>
  <c r="U53" i="25"/>
  <c r="U21" i="25"/>
  <c r="U34" i="25"/>
  <c r="U18" i="25"/>
  <c r="U30" i="25"/>
  <c r="U42" i="25"/>
  <c r="U9" i="25"/>
  <c r="U19" i="25"/>
  <c r="U31" i="25"/>
  <c r="U43" i="25"/>
  <c r="U20" i="25"/>
  <c r="M12" i="8"/>
  <c r="M15" i="8" s="1"/>
  <c r="U54" i="25" l="1"/>
  <c r="H10" i="8"/>
  <c r="H11" i="8"/>
  <c r="H9" i="8"/>
  <c r="H8" i="8"/>
  <c r="H12" i="8" l="1"/>
</calcChain>
</file>

<file path=xl/sharedStrings.xml><?xml version="1.0" encoding="utf-8"?>
<sst xmlns="http://schemas.openxmlformats.org/spreadsheetml/2006/main" count="458" uniqueCount="191">
  <si>
    <t>صورت وضعیت پرتفوی</t>
  </si>
  <si>
    <t>تغییرات طی دوره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</si>
  <si>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</si>
  <si>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</si>
  <si>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</si>
  <si>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</si>
  <si>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</si>
  <si>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</si>
  <si>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</si>
  <si>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</si>
  <si>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</si>
  <si>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ایران‌ خودرو</t>
  </si>
  <si>
    <t>بانک تجارت</t>
  </si>
  <si>
    <t>بانک صادرات ایران</t>
  </si>
  <si>
    <t>بانک ملت</t>
  </si>
  <si>
    <t>پالایش نفت اصفهان</t>
  </si>
  <si>
    <t>پویا زرکان آق دره</t>
  </si>
  <si>
    <t>تامین سرمایه دماوند</t>
  </si>
  <si>
    <t>ذوب آهن اصفهان</t>
  </si>
  <si>
    <t>سایپا</t>
  </si>
  <si>
    <t>سرمایه گذاری پایا تدبیرپارسا</t>
  </si>
  <si>
    <t>سرمایه گذاری تامین اجتماعی</t>
  </si>
  <si>
    <t>شمش طلا GoldBar</t>
  </si>
  <si>
    <t>مخابرات ایران</t>
  </si>
  <si>
    <t>ملی‌ صنایع‌ مس‌ ایران‌</t>
  </si>
  <si>
    <t>س. و توسعه صنایع لاستیک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</si>
  <si>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</si>
  <si>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</si>
  <si>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</si>
  <si>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</si>
  <si>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</si>
  <si>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</si>
  <si>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</si>
  <si>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 ت وبملت-1383-05/07/27</t>
  </si>
  <si>
    <t>1405/07/27</t>
  </si>
  <si>
    <t>اختیارف ت خودرو-535-05/08/09</t>
  </si>
  <si>
    <t>1405/08/09</t>
  </si>
  <si>
    <t>تعداد اوراق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</si>
  <si>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</si>
  <si>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</si>
  <si>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</si>
  <si>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</si>
  <si>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</si>
  <si>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</si>
  <si>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بله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</si>
  <si>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</si>
  <si>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</si>
  <si>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</si>
  <si>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</si>
  <si>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</si>
  <si>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</si>
  <si>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</si>
  <si>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</si>
  <si>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</si>
  <si>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</si>
  <si>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</si>
  <si>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</si>
  <si>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</si>
  <si>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</si>
  <si>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</si>
  <si>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</si>
  <si>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</si>
  <si>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</si>
  <si>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</si>
  <si>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</si>
  <si>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</si>
  <si>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</si>
  <si>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</si>
  <si>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</si>
  <si>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</si>
  <si>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عنوان</t>
  </si>
  <si>
    <t>درآمد سود اوراق</t>
  </si>
  <si>
    <t>مرابحه سمگا-دماوند060907</t>
  </si>
  <si>
    <t>صکوک مرابحه اندیمشک07-6ماهه23%</t>
  </si>
  <si>
    <t>صکوک اجاره اخابر61-3ماهه23%</t>
  </si>
  <si>
    <t>مبلغ شناسایی شده بابت قرارداد خرید و نگهداری اوراق بهادار</t>
  </si>
  <si>
    <t>طرف معامله</t>
  </si>
  <si>
    <t>نوع وابستگی</t>
  </si>
  <si>
    <t>نام ورقه بهادار</t>
  </si>
  <si>
    <t>بهای تمام شده اوراق</t>
  </si>
  <si>
    <t>نام سپرده بانکی</t>
  </si>
  <si>
    <t>سود سپرده بانکی و گواهی سپرده</t>
  </si>
  <si>
    <t>درصد سود به میانگین سپرده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</si>
  <si>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</si>
  <si>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</si>
  <si>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</si>
  <si>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</si>
  <si>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</si>
  <si>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</si>
  <si>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</si>
  <si>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</si>
  <si>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</si>
  <si>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سود اوراق بهادار با درآمد ثابت</t>
  </si>
  <si>
    <t>نرخ سود علی الحساب</t>
  </si>
  <si>
    <t>درآمد سود</t>
  </si>
  <si>
    <t>خالص درآمد</t>
  </si>
  <si>
    <t>1406/11/14</t>
  </si>
  <si>
    <t>1407/10/06</t>
  </si>
  <si>
    <t>1406/09/07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</si>
  <si>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</si>
  <si>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</si>
  <si>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</si>
  <si>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</si>
  <si>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</si>
  <si>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</si>
  <si>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</si>
  <si>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1-سرمایه گذاری ها</t>
  </si>
  <si>
    <t>1-1-سرمایه گذاری در سهام و حق تقدم سهام</t>
  </si>
  <si>
    <t>سپرده کوتاه مدت بانک پاسارگاد</t>
  </si>
  <si>
    <t>سپرده کوتاه مدت بانک سینا</t>
  </si>
  <si>
    <t>سپرده کوتاه مدت بانک سامان</t>
  </si>
  <si>
    <t>سپرده بلند مدت بانک پاسارگاد</t>
  </si>
  <si>
    <t>3-1-سرمایه‌گذاری در  سپرده‌ بانکی</t>
  </si>
  <si>
    <t>1-2-درآمد حاصل از سرمایه­گذاری در سهام و حق تقدم سهام</t>
  </si>
  <si>
    <t>.</t>
  </si>
  <si>
    <t>2-2-درآمد حاصل از سرمایه­گذاری در اوراق بهادار با درآمد ثابت:</t>
  </si>
  <si>
    <t>4-2-سایر درآمدها</t>
  </si>
  <si>
    <t>3-2-درآمد حاصل از سرمایه­گذاری در سپرده بانکی و گواهی سپرده</t>
  </si>
  <si>
    <t>صندوق حفظ ارزش دماوند</t>
  </si>
  <si>
    <t>در اجرای ابلاغیه شماره 12020093 مورخ 1396/09/05 سازمان بورس و اوراق بهادار</t>
  </si>
  <si>
    <t>‫صورت وضعیت پورتفوی</t>
  </si>
  <si>
    <t>‫صندوق حفظ ارزش دماوند</t>
  </si>
  <si>
    <t>میانگین نرخ بازده تا سررسید قراردادهای منعقده(درصد)</t>
  </si>
  <si>
    <t>نرخ اسمی(درصد)</t>
  </si>
  <si>
    <t>جزئیات قراردادهای خرید و نگهداری اوراق بهادار با درآمد ثابت</t>
  </si>
  <si>
    <t>2-1-سرمایه‌گذاری در اوراق بهادار با درآمد ثابت یا علی‌الحساب</t>
  </si>
  <si>
    <t>فولاد مبارکه اصفهان</t>
  </si>
  <si>
    <t>معدنی‌وصنعتی‌چادرملو</t>
  </si>
  <si>
    <t>تولیدی چدن سازان</t>
  </si>
  <si>
    <t>بورس کالای ایران</t>
  </si>
  <si>
    <t>گروه مالی نماد غدیر(سهامی عام)</t>
  </si>
  <si>
    <t>صندوق سهامی حفظ ارزش دماوند</t>
  </si>
  <si>
    <t>دلیل تعدیل</t>
  </si>
  <si>
    <t>خالص ارزش فروش تعدیل شده</t>
  </si>
  <si>
    <t>درصد تعدیل</t>
  </si>
  <si>
    <t>قیمت تعدیل شده</t>
  </si>
  <si>
    <t>قیمت پایانی</t>
  </si>
  <si>
    <t>نام اوراق بهادار</t>
  </si>
  <si>
    <t>(بر اساس دستورالعمل نحوه تعیین قیمت خرید و فروش اوراق بهادار در صندوق های سرمایه گذاری)</t>
  </si>
  <si>
    <t>اوراق بهاداری که ارزش آنها در تاریخ گزارش تعدیل شده</t>
  </si>
  <si>
    <t>شیر و گوشت زاگرس شهرکرد</t>
  </si>
  <si>
    <t>کارخانجات تولیدی نیروترانسفو</t>
  </si>
  <si>
    <t>داروسازی‌ فارابی‌</t>
  </si>
  <si>
    <t>توزیع دارو پخش</t>
  </si>
  <si>
    <t>پتروشیمی پردیس</t>
  </si>
  <si>
    <t>1402/11/14</t>
  </si>
  <si>
    <t>پتروشیمی‌شیراز</t>
  </si>
  <si>
    <t>ح . معدنی‌وصنعتی‌چادرملو</t>
  </si>
  <si>
    <t>پتروشیمی شازند</t>
  </si>
  <si>
    <t>توسعه خدمات دریایی وبندری سینا</t>
  </si>
  <si>
    <t>سالمین‌</t>
  </si>
  <si>
    <t>صنعت غذایی کورش</t>
  </si>
  <si>
    <t>کاشی‌ الوند</t>
  </si>
  <si>
    <t>سرمایه‌گذاری‌غدیر(هلدینگ‌</t>
  </si>
  <si>
    <t>پالایش نفت بندرعباس</t>
  </si>
  <si>
    <t>تایدواترخاورمیانه</t>
  </si>
  <si>
    <t>تولیدات پتروشیمی قائد بصیر</t>
  </si>
  <si>
    <t>کولان سل</t>
  </si>
  <si>
    <t>نفت‌ بهران‌</t>
  </si>
  <si>
    <t>1402/10/06</t>
  </si>
  <si>
    <t xml:space="preserve">سپرده کوتاه مدت بانک گردشگری </t>
  </si>
  <si>
    <t>1405/03/27</t>
  </si>
  <si>
    <t>1405/03/12</t>
  </si>
  <si>
    <t>اوراق مشارکت صکوک مرابحه اندیمشک07-6ماهه23%</t>
  </si>
  <si>
    <t>اوراق فرابورسی صکوک اجاره اخابر61-3ماهه23%</t>
  </si>
  <si>
    <t>33</t>
  </si>
  <si>
    <t>1405/04/31</t>
  </si>
  <si>
    <t>زرین ذرت شاهرود</t>
  </si>
  <si>
    <t>سیمان آرتا اردبیل</t>
  </si>
  <si>
    <t>نشاسته و گلوکز آردینه</t>
  </si>
  <si>
    <t>سیمان‌سپاهان‌</t>
  </si>
  <si>
    <t>شرکت تامین سرمایه دماوند</t>
  </si>
  <si>
    <t>مدیر صندوق</t>
  </si>
  <si>
    <t>1405/04/29</t>
  </si>
  <si>
    <t>1405/04/27</t>
  </si>
  <si>
    <t>1405/04/30</t>
  </si>
  <si>
    <t>1405/04/07</t>
  </si>
  <si>
    <t>1405/04/24</t>
  </si>
  <si>
    <t>1405/04/21</t>
  </si>
  <si>
    <t>1405/04/10</t>
  </si>
  <si>
    <t>سپرده کوتاه مدت بانک گردشگری</t>
  </si>
  <si>
    <t>32.5</t>
  </si>
  <si>
    <t>‫برای ماه منتهی به 31 مرداد ماه 1405</t>
  </si>
  <si>
    <t>بین المللی توسعه ص. معادن غدیر</t>
  </si>
  <si>
    <t>شرکت آهن و فولاد ارفع</t>
  </si>
  <si>
    <t>دارویی و نهاده های زاگرس دارو</t>
  </si>
  <si>
    <t>1405/05/31</t>
  </si>
  <si>
    <t>0.00%</t>
  </si>
  <si>
    <t>سایر</t>
  </si>
  <si>
    <t>1405/05/05</t>
  </si>
  <si>
    <t>1405/05/11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</si>
</sst>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#,##0_-;\(#,##0\)"/>
    <numFmt numFmtId="166" formatCode="#,##0.00000_);\(#,##0.00000\)"/>
  </numFmts>
  <fonts count="18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11"/>
      <name val="Calibri"/>
      <family val="2"/>
    </font>
    <font>
      <sz val="12"/>
      <name val="B Nazanin"/>
      <charset val="178"/>
    </font>
    <font>
      <sz val="12"/>
      <color theme="0"/>
      <name val="B Nazanin"/>
      <charset val="178"/>
    </font>
    <font>
      <sz val="11"/>
      <color indexed="8"/>
      <name val="Calibri"/>
      <family val="2"/>
      <scheme val="minor"/>
    </font>
    <font>
      <sz val="12"/>
      <color indexed="8"/>
      <name val="B Nazanin"/>
      <charset val="178"/>
    </font>
    <font>
      <b/>
      <u/>
      <sz val="12"/>
      <name val="B Nazanin"/>
      <charset val="178"/>
    </font>
    <font>
      <sz val="11"/>
      <color theme="1"/>
      <name val="Calibri"/>
      <family val="2"/>
      <scheme val="minor"/>
    </font>
    <font>
      <sz val="11"/>
      <color indexed="8"/>
      <name val="B Nazanin"/>
      <charset val="178"/>
    </font>
    <font>
      <sz val="11"/>
      <color theme="1"/>
      <name val="B Nazanin"/>
      <charset val="178"/>
    </font>
    <font>
      <b/>
      <sz val="10"/>
      <color theme="1"/>
      <name val="B Zar"/>
      <charset val="178"/>
    </font>
    <font>
      <b/>
      <sz val="12"/>
      <name val="B Nazanin"/>
      <charset val="178"/>
    </font>
    <font>
      <sz val="10"/>
      <color rgb="FF000000"/>
      <name val="Arial"/>
      <family val="2"/>
      <charset val="17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0" fontId="6" fillId="0" borderId="0"/>
    <xf numFmtId="0" fontId="9" fillId="0" borderId="0"/>
    <xf numFmtId="0" fontId="12" fillId="0" borderId="0"/>
    <xf numFmtId="164" fontId="12" fillId="0" borderId="0" applyFont="0" applyFill="0" applyBorder="0" applyAlignment="0" applyProtection="0"/>
    <xf numFmtId="0" fontId="9" fillId="0" borderId="0"/>
    <xf numFmtId="0" fontId="5" fillId="0" borderId="0"/>
  </cellStyleXfs>
  <cellXfs count="146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3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vertical="top"/>
    </xf>
    <xf numFmtId="0" fontId="3" fillId="0" borderId="1" xfId="0" applyFont="1" applyBorder="1" applyAlignment="1">
      <alignment vertical="center"/>
    </xf>
    <xf numFmtId="0" fontId="4" fillId="0" borderId="2" xfId="0" applyFont="1" applyBorder="1" applyAlignment="1">
      <alignment vertical="top"/>
    </xf>
    <xf numFmtId="0" fontId="3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center"/>
    </xf>
    <xf numFmtId="37" fontId="0" fillId="0" borderId="0" xfId="0" applyNumberFormat="1" applyAlignment="1">
      <alignment horizontal="center"/>
    </xf>
    <xf numFmtId="37" fontId="4" fillId="0" borderId="0" xfId="0" applyNumberFormat="1" applyFont="1" applyAlignment="1">
      <alignment horizontal="center" vertical="center"/>
    </xf>
    <xf numFmtId="37" fontId="4" fillId="0" borderId="0" xfId="0" applyNumberFormat="1" applyFont="1" applyAlignment="1">
      <alignment horizontal="center" vertical="top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right" vertical="top"/>
    </xf>
    <xf numFmtId="3" fontId="0" fillId="0" borderId="0" xfId="0" applyNumberFormat="1" applyAlignment="1">
      <alignment horizontal="left"/>
    </xf>
    <xf numFmtId="37" fontId="0" fillId="0" borderId="0" xfId="0" applyNumberFormat="1" applyAlignment="1">
      <alignment horizontal="left"/>
    </xf>
    <xf numFmtId="0" fontId="7" fillId="0" borderId="0" xfId="1" applyFont="1"/>
    <xf numFmtId="0" fontId="8" fillId="0" borderId="0" xfId="1" applyFont="1"/>
    <xf numFmtId="0" fontId="10" fillId="0" borderId="0" xfId="2" applyFont="1"/>
    <xf numFmtId="0" fontId="12" fillId="0" borderId="0" xfId="3"/>
    <xf numFmtId="0" fontId="12" fillId="0" borderId="0" xfId="3" applyAlignment="1">
      <alignment horizontal="center" vertical="center"/>
    </xf>
    <xf numFmtId="37" fontId="14" fillId="0" borderId="9" xfId="4" applyNumberFormat="1" applyFont="1" applyFill="1" applyBorder="1" applyAlignment="1">
      <alignment horizontal="center" vertical="center" shrinkToFit="1"/>
    </xf>
    <xf numFmtId="0" fontId="9" fillId="0" borderId="0" xfId="5"/>
    <xf numFmtId="49" fontId="13" fillId="0" borderId="10" xfId="5" applyNumberFormat="1" applyFont="1" applyBorder="1" applyAlignment="1">
      <alignment horizontal="center" vertical="center" wrapText="1"/>
    </xf>
    <xf numFmtId="37" fontId="13" fillId="0" borderId="10" xfId="5" applyNumberFormat="1" applyFont="1" applyBorder="1" applyAlignment="1">
      <alignment horizontal="center" vertical="center" wrapText="1"/>
    </xf>
    <xf numFmtId="0" fontId="13" fillId="0" borderId="10" xfId="5" applyFont="1" applyBorder="1" applyAlignment="1">
      <alignment horizontal="center" vertical="center" wrapText="1"/>
    </xf>
    <xf numFmtId="0" fontId="15" fillId="2" borderId="11" xfId="5" applyFont="1" applyFill="1" applyBorder="1" applyAlignment="1">
      <alignment horizontal="center" vertical="center" wrapText="1"/>
    </xf>
    <xf numFmtId="0" fontId="15" fillId="2" borderId="11" xfId="5" applyFont="1" applyFill="1" applyBorder="1" applyAlignment="1">
      <alignment horizontal="center" vertical="center"/>
    </xf>
    <xf numFmtId="0" fontId="15" fillId="2" borderId="12" xfId="5" applyFont="1" applyFill="1" applyBorder="1" applyAlignment="1">
      <alignment horizontal="center" vertical="center"/>
    </xf>
    <xf numFmtId="0" fontId="1" fillId="0" borderId="0" xfId="6" applyFont="1" applyAlignment="1">
      <alignment vertical="center"/>
    </xf>
    <xf numFmtId="0" fontId="5" fillId="0" borderId="0" xfId="6" applyAlignment="1">
      <alignment horizontal="left"/>
    </xf>
    <xf numFmtId="0" fontId="5" fillId="0" borderId="2" xfId="6" applyBorder="1" applyAlignment="1">
      <alignment horizontal="left"/>
    </xf>
    <xf numFmtId="0" fontId="3" fillId="0" borderId="6" xfId="6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4" fillId="0" borderId="0" xfId="6" applyFont="1" applyAlignment="1">
      <alignment horizontal="right" vertical="top"/>
    </xf>
    <xf numFmtId="0" fontId="5" fillId="0" borderId="0" xfId="6" applyAlignment="1">
      <alignment horizontal="center" vertical="center"/>
    </xf>
    <xf numFmtId="0" fontId="4" fillId="0" borderId="0" xfId="6" applyFont="1" applyAlignment="1">
      <alignment horizontal="center" vertical="center"/>
    </xf>
    <xf numFmtId="3" fontId="4" fillId="0" borderId="0" xfId="6" applyNumberFormat="1" applyFont="1" applyAlignment="1">
      <alignment horizontal="center" vertical="center"/>
    </xf>
    <xf numFmtId="4" fontId="4" fillId="0" borderId="2" xfId="6" applyNumberFormat="1" applyFont="1" applyBorder="1" applyAlignment="1">
      <alignment horizontal="center" vertical="center"/>
    </xf>
    <xf numFmtId="4" fontId="4" fillId="0" borderId="0" xfId="6" applyNumberFormat="1" applyFont="1" applyAlignment="1">
      <alignment horizontal="center" vertical="center"/>
    </xf>
    <xf numFmtId="39" fontId="4" fillId="0" borderId="7" xfId="6" applyNumberFormat="1" applyFont="1" applyBorder="1" applyAlignment="1">
      <alignment horizontal="center" vertical="center"/>
    </xf>
    <xf numFmtId="37" fontId="4" fillId="0" borderId="0" xfId="6" applyNumberFormat="1" applyFont="1" applyAlignment="1">
      <alignment horizontal="center" vertical="center"/>
    </xf>
    <xf numFmtId="39" fontId="4" fillId="0" borderId="0" xfId="6" applyNumberFormat="1" applyFont="1" applyAlignment="1">
      <alignment horizontal="center" vertical="center"/>
    </xf>
    <xf numFmtId="0" fontId="5" fillId="0" borderId="0" xfId="6"/>
    <xf numFmtId="0" fontId="5" fillId="0" borderId="2" xfId="6" applyBorder="1" applyAlignment="1">
      <alignment horizontal="center" vertical="center"/>
    </xf>
    <xf numFmtId="0" fontId="3" fillId="0" borderId="4" xfId="6" applyFont="1" applyBorder="1" applyAlignment="1">
      <alignment vertical="center"/>
    </xf>
    <xf numFmtId="3" fontId="5" fillId="0" borderId="0" xfId="6" applyNumberFormat="1" applyAlignment="1">
      <alignment horizontal="left"/>
    </xf>
    <xf numFmtId="37" fontId="5" fillId="0" borderId="0" xfId="6" applyNumberFormat="1" applyAlignment="1">
      <alignment horizontal="left"/>
    </xf>
    <xf numFmtId="0" fontId="3" fillId="0" borderId="0" xfId="6" applyFont="1" applyAlignment="1">
      <alignment horizontal="center" vertical="center"/>
    </xf>
    <xf numFmtId="0" fontId="4" fillId="0" borderId="0" xfId="6" applyFont="1" applyAlignment="1">
      <alignment vertical="top"/>
    </xf>
    <xf numFmtId="0" fontId="4" fillId="0" borderId="2" xfId="6" applyFont="1" applyBorder="1" applyAlignment="1">
      <alignment vertical="top"/>
    </xf>
    <xf numFmtId="3" fontId="4" fillId="0" borderId="5" xfId="6" applyNumberFormat="1" applyFont="1" applyBorder="1" applyAlignment="1">
      <alignment horizontal="center" vertical="center"/>
    </xf>
    <xf numFmtId="0" fontId="3" fillId="0" borderId="6" xfId="6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3" fontId="12" fillId="0" borderId="0" xfId="3" applyNumberFormat="1"/>
    <xf numFmtId="0" fontId="5" fillId="0" borderId="0" xfId="0" applyFont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4" fillId="0" borderId="2" xfId="6" applyFont="1" applyBorder="1" applyAlignment="1">
      <alignment horizontal="center" vertical="center"/>
    </xf>
    <xf numFmtId="3" fontId="5" fillId="0" borderId="0" xfId="0" applyNumberFormat="1" applyFont="1" applyAlignment="1">
      <alignment horizontal="left"/>
    </xf>
    <xf numFmtId="3" fontId="5" fillId="0" borderId="0" xfId="6" applyNumberFormat="1" applyAlignment="1">
      <alignment horizontal="center" vertical="center"/>
    </xf>
    <xf numFmtId="37" fontId="0" fillId="0" borderId="0" xfId="0" applyNumberFormat="1" applyAlignment="1">
      <alignment horizontal="right" vertical="center"/>
    </xf>
    <xf numFmtId="39" fontId="4" fillId="0" borderId="0" xfId="0" applyNumberFormat="1" applyFont="1" applyAlignment="1">
      <alignment horizontal="right" vertical="center"/>
    </xf>
    <xf numFmtId="0" fontId="0" fillId="0" borderId="0" xfId="0" applyAlignment="1">
      <alignment horizontal="right"/>
    </xf>
    <xf numFmtId="4" fontId="4" fillId="0" borderId="7" xfId="0" applyNumberFormat="1" applyFont="1" applyBorder="1" applyAlignment="1">
      <alignment horizontal="right" vertical="top"/>
    </xf>
    <xf numFmtId="38" fontId="4" fillId="0" borderId="0" xfId="0" applyNumberFormat="1" applyFont="1" applyAlignment="1">
      <alignment horizontal="right" vertical="center"/>
    </xf>
    <xf numFmtId="38" fontId="0" fillId="0" borderId="0" xfId="0" applyNumberFormat="1" applyAlignment="1">
      <alignment horizontal="right" vertical="center"/>
    </xf>
    <xf numFmtId="38" fontId="0" fillId="0" borderId="0" xfId="0" applyNumberFormat="1" applyAlignment="1">
      <alignment horizontal="right"/>
    </xf>
    <xf numFmtId="38" fontId="4" fillId="0" borderId="5" xfId="0" applyNumberFormat="1" applyFont="1" applyBorder="1" applyAlignment="1">
      <alignment horizontal="right" vertical="top"/>
    </xf>
    <xf numFmtId="38" fontId="4" fillId="0" borderId="7" xfId="0" applyNumberFormat="1" applyFont="1" applyBorder="1" applyAlignment="1">
      <alignment horizontal="right" vertical="top"/>
    </xf>
    <xf numFmtId="38" fontId="4" fillId="0" borderId="0" xfId="0" applyNumberFormat="1" applyFont="1" applyAlignment="1">
      <alignment horizontal="right" vertical="top"/>
    </xf>
    <xf numFmtId="4" fontId="4" fillId="0" borderId="0" xfId="0" applyNumberFormat="1" applyFont="1" applyAlignment="1">
      <alignment horizontal="right" vertical="center"/>
    </xf>
    <xf numFmtId="39" fontId="4" fillId="0" borderId="5" xfId="0" applyNumberFormat="1" applyFont="1" applyBorder="1" applyAlignment="1">
      <alignment horizontal="right" vertical="center"/>
    </xf>
    <xf numFmtId="38" fontId="4" fillId="0" borderId="2" xfId="0" applyNumberFormat="1" applyFont="1" applyBorder="1" applyAlignment="1">
      <alignment horizontal="right" vertical="center"/>
    </xf>
    <xf numFmtId="38" fontId="4" fillId="0" borderId="5" xfId="0" applyNumberFormat="1" applyFont="1" applyBorder="1" applyAlignment="1">
      <alignment horizontal="right" vertical="center"/>
    </xf>
    <xf numFmtId="38" fontId="4" fillId="0" borderId="7" xfId="0" applyNumberFormat="1" applyFont="1" applyBorder="1" applyAlignment="1">
      <alignment horizontal="right" vertical="center"/>
    </xf>
    <xf numFmtId="4" fontId="4" fillId="0" borderId="5" xfId="0" applyNumberFormat="1" applyFont="1" applyBorder="1" applyAlignment="1">
      <alignment horizontal="right" vertical="center"/>
    </xf>
    <xf numFmtId="39" fontId="0" fillId="0" borderId="0" xfId="0" applyNumberFormat="1" applyAlignment="1">
      <alignment horizontal="right" vertical="center"/>
    </xf>
    <xf numFmtId="38" fontId="4" fillId="0" borderId="2" xfId="6" applyNumberFormat="1" applyFont="1" applyBorder="1" applyAlignment="1">
      <alignment horizontal="right" vertical="center"/>
    </xf>
    <xf numFmtId="38" fontId="5" fillId="0" borderId="0" xfId="6" applyNumberFormat="1" applyAlignment="1">
      <alignment horizontal="right" vertical="center"/>
    </xf>
    <xf numFmtId="38" fontId="4" fillId="0" borderId="0" xfId="6" applyNumberFormat="1" applyFont="1" applyAlignment="1">
      <alignment horizontal="right" vertical="center"/>
    </xf>
    <xf numFmtId="38" fontId="4" fillId="0" borderId="5" xfId="6" applyNumberFormat="1" applyFont="1" applyBorder="1" applyAlignment="1">
      <alignment horizontal="right" vertical="center"/>
    </xf>
    <xf numFmtId="37" fontId="14" fillId="0" borderId="0" xfId="4" applyNumberFormat="1" applyFont="1" applyFill="1" applyBorder="1" applyAlignment="1">
      <alignment horizontal="center" vertical="center" shrinkToFit="1"/>
    </xf>
    <xf numFmtId="38" fontId="0" fillId="0" borderId="0" xfId="0" applyNumberFormat="1" applyAlignment="1">
      <alignment horizontal="left"/>
    </xf>
    <xf numFmtId="166" fontId="0" fillId="0" borderId="0" xfId="0" applyNumberFormat="1" applyAlignment="1">
      <alignment horizontal="center"/>
    </xf>
    <xf numFmtId="38" fontId="4" fillId="0" borderId="0" xfId="6" applyNumberFormat="1" applyFont="1" applyAlignment="1">
      <alignment horizontal="center" vertical="center"/>
    </xf>
    <xf numFmtId="38" fontId="5" fillId="0" borderId="0" xfId="6" applyNumberFormat="1" applyAlignment="1">
      <alignment horizontal="center" vertical="center"/>
    </xf>
    <xf numFmtId="38" fontId="4" fillId="0" borderId="7" xfId="6" applyNumberFormat="1" applyFont="1" applyBorder="1" applyAlignment="1">
      <alignment horizontal="center" vertical="center"/>
    </xf>
    <xf numFmtId="38" fontId="5" fillId="0" borderId="0" xfId="6" applyNumberFormat="1" applyAlignment="1">
      <alignment horizontal="left"/>
    </xf>
    <xf numFmtId="38" fontId="4" fillId="0" borderId="5" xfId="6" applyNumberFormat="1" applyFont="1" applyBorder="1" applyAlignment="1">
      <alignment horizontal="center" vertical="center"/>
    </xf>
    <xf numFmtId="38" fontId="4" fillId="0" borderId="0" xfId="0" applyNumberFormat="1" applyFont="1" applyAlignment="1">
      <alignment horizontal="center" vertical="center"/>
    </xf>
    <xf numFmtId="38" fontId="0" fillId="0" borderId="0" xfId="0" applyNumberFormat="1" applyAlignment="1">
      <alignment horizontal="center" vertical="center"/>
    </xf>
    <xf numFmtId="38" fontId="0" fillId="0" borderId="0" xfId="0" applyNumberFormat="1" applyAlignment="1">
      <alignment horizontal="center"/>
    </xf>
    <xf numFmtId="0" fontId="4" fillId="0" borderId="0" xfId="0" applyFont="1" applyAlignment="1">
      <alignment horizontal="center" vertical="top"/>
    </xf>
    <xf numFmtId="0" fontId="17" fillId="0" borderId="0" xfId="0" applyFont="1" applyAlignment="1">
      <alignment horizontal="center"/>
    </xf>
    <xf numFmtId="0" fontId="5" fillId="0" borderId="0" xfId="6" applyAlignment="1">
      <alignment horizontal="center"/>
    </xf>
    <xf numFmtId="0" fontId="4" fillId="0" borderId="0" xfId="0" applyFont="1" applyAlignment="1">
      <alignment horizontal="center"/>
    </xf>
    <xf numFmtId="37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37" fontId="4" fillId="0" borderId="7" xfId="0" applyNumberFormat="1" applyFont="1" applyBorder="1" applyAlignment="1">
      <alignment horizontal="center"/>
    </xf>
    <xf numFmtId="37" fontId="11" fillId="0" borderId="0" xfId="2" applyNumberFormat="1" applyFont="1" applyAlignment="1">
      <alignment horizontal="center" vertical="center"/>
    </xf>
    <xf numFmtId="37" fontId="11" fillId="0" borderId="0" xfId="2" applyNumberFormat="1" applyFont="1" applyAlignment="1">
      <alignment horizontal="center" vertical="center" wrapText="1"/>
    </xf>
    <xf numFmtId="0" fontId="2" fillId="0" borderId="0" xfId="0" applyFont="1" applyAlignment="1">
      <alignment horizontal="right" vertical="center" readingOrder="2"/>
    </xf>
    <xf numFmtId="0" fontId="1" fillId="0" borderId="0" xfId="0" applyFont="1" applyAlignment="1">
      <alignment horizontal="center" vertical="center"/>
    </xf>
    <xf numFmtId="37" fontId="1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6" applyFont="1" applyBorder="1" applyAlignment="1">
      <alignment horizontal="right" vertical="top"/>
    </xf>
    <xf numFmtId="3" fontId="4" fillId="0" borderId="2" xfId="6" applyNumberFormat="1" applyFont="1" applyBorder="1" applyAlignment="1">
      <alignment horizontal="right" vertical="top"/>
    </xf>
    <xf numFmtId="4" fontId="4" fillId="0" borderId="2" xfId="6" applyNumberFormat="1" applyFont="1" applyBorder="1" applyAlignment="1">
      <alignment horizontal="right" vertical="top"/>
    </xf>
    <xf numFmtId="0" fontId="4" fillId="0" borderId="0" xfId="6" applyFont="1" applyAlignment="1">
      <alignment horizontal="right" vertical="top"/>
    </xf>
    <xf numFmtId="3" fontId="4" fillId="0" borderId="0" xfId="6" applyNumberFormat="1" applyFont="1" applyAlignment="1">
      <alignment horizontal="right" vertical="top"/>
    </xf>
    <xf numFmtId="4" fontId="4" fillId="0" borderId="0" xfId="6" applyNumberFormat="1" applyFont="1" applyAlignment="1">
      <alignment horizontal="right" vertical="top"/>
    </xf>
    <xf numFmtId="0" fontId="1" fillId="0" borderId="0" xfId="6" applyFont="1" applyAlignment="1">
      <alignment horizontal="center" vertical="center"/>
    </xf>
    <xf numFmtId="37" fontId="1" fillId="0" borderId="0" xfId="6" applyNumberFormat="1" applyFont="1" applyAlignment="1">
      <alignment horizontal="center" vertical="center"/>
    </xf>
    <xf numFmtId="0" fontId="2" fillId="0" borderId="0" xfId="6" applyFont="1" applyAlignment="1">
      <alignment horizontal="right" vertical="center"/>
    </xf>
    <xf numFmtId="0" fontId="3" fillId="0" borderId="4" xfId="6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6" xfId="6" applyFont="1" applyBorder="1" applyAlignment="1">
      <alignment horizontal="center" vertical="center"/>
    </xf>
    <xf numFmtId="0" fontId="2" fillId="0" borderId="0" xfId="6" applyFont="1" applyAlignment="1">
      <alignment horizontal="right" vertical="center" readingOrder="2"/>
    </xf>
    <xf numFmtId="165" fontId="16" fillId="0" borderId="0" xfId="5" applyNumberFormat="1" applyFont="1" applyAlignment="1">
      <alignment horizontal="right" vertical="center"/>
    </xf>
    <xf numFmtId="165" fontId="9" fillId="0" borderId="0" xfId="5" applyNumberFormat="1"/>
    <xf numFmtId="0" fontId="13" fillId="0" borderId="10" xfId="5" applyFont="1" applyBorder="1" applyAlignment="1">
      <alignment horizontal="center" vertical="center" wrapText="1"/>
    </xf>
  </cellXfs>
  <cellStyles count="7">
    <cellStyle name="Comma 2 2 2" xfId="4" xr:uid="{C0E07E28-BAF9-4738-863C-B2DD54C5CAE7}"/>
    <cellStyle name="Normal" xfId="0" builtinId="0"/>
    <cellStyle name="Normal 2" xfId="6" xr:uid="{EA4EB5DA-2FB0-4004-BBA1-033A36D35DE7}"/>
    <cellStyle name="Normal 2 2" xfId="5" xr:uid="{E7361AA4-401A-41D0-8CEE-B5FF9929AEC0}"/>
    <cellStyle name="Normal 2 3" xfId="1" xr:uid="{FFFEF5F7-E21C-4B1A-9378-8B0BA4F6C96B}"/>
    <cellStyle name="Normal 2 4" xfId="3" xr:uid="{4BB15788-FE29-40FC-877A-F86FB5DC0845}"/>
    <cellStyle name="Normal 4" xfId="2" xr:uid="{2BE8D241-F6C0-4C17-BACD-8B5A1B33D620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586809</xdr:colOff>
      <xdr:row>1</xdr:row>
      <xdr:rowOff>51026</xdr:rowOff>
    </xdr:from>
    <xdr:ext cx="3185091" cy="2718751"/>
    <xdr:pic>
      <xdr:nvPicPr>
        <xdr:cNvPr id="2" name="Picture 1">
          <a:extLst>
            <a:ext uri="{FF2B5EF4-FFF2-40B4-BE49-F238E27FC236}">
              <a16:creationId xmlns:a16="http://schemas.microsoft.com/office/drawing/2014/main" id="{A8D3AA09-D673-4F3F-AC2F-A5F75EC8F2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3304900" y="289151"/>
          <a:ext cx="3185091" cy="2718751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F/&#1581;&#1587;&#1575;&#1576;&#1583;&#1575;&#1585;&#1740;%20&#1589;&#1606;&#1583;&#1608;&#1602;/10-&#1581;&#1601;&#1592;%20&#1575;&#1585;&#1586;&#1588;%20&#1583;&#1605;&#1575;&#1608;&#1606;&#1583;/&#1593;&#1605;&#1604;&#1740;&#1575;&#1578;%20&#1581;&#1587;&#1575;&#1576;&#1583;&#1575;&#1585;&#1740;/&#1662;&#1585;&#1578;&#1601;&#1608;&#1740;%20&#1605;&#1575;&#1607;&#1575;&#1606;&#1607;/1404/14040531/140405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"/>
      <sheetName val="سهام"/>
      <sheetName val="اوراق مشتقه"/>
      <sheetName val="اوراق"/>
      <sheetName val="تعدیل قیمت"/>
      <sheetName val="سپرده"/>
      <sheetName val="درآمد"/>
      <sheetName val="1-2"/>
      <sheetName val="2-2"/>
      <sheetName val="3-2"/>
      <sheetName val="4-2"/>
      <sheetName val="درآمد سود سهام"/>
      <sheetName val="سود اوراق بهادار"/>
      <sheetName val="سود سپرده بانکی"/>
      <sheetName val="درآمد ناشی از فروش"/>
      <sheetName val="درآمد اعمال اختیار"/>
      <sheetName val="درآمد ناشی از تغییر قیمت اوراق"/>
      <sheetName val="سود ترجیح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">
          <cell r="A1" t="str">
            <v>صندوق حفظ ارزش دماوند</v>
          </cell>
          <cell r="B1"/>
          <cell r="C1"/>
          <cell r="D1"/>
          <cell r="E1"/>
          <cell r="F1"/>
          <cell r="G1"/>
          <cell r="H1"/>
          <cell r="I1"/>
          <cell r="J1"/>
          <cell r="K1"/>
          <cell r="L1"/>
          <cell r="M1"/>
          <cell r="N1"/>
          <cell r="O1"/>
          <cell r="P1"/>
          <cell r="Q1"/>
        </row>
      </sheetData>
      <sheetData sheetId="1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3749B-F53B-4D53-8565-2073CFDF345C}">
  <dimension ref="A15:I27"/>
  <sheetViews>
    <sheetView rightToLeft="1" tabSelected="1" view="pageBreakPreview" topLeftCell="A13" zoomScaleNormal="100" zoomScaleSheetLayoutView="100" workbookViewId="0">
      <selection activeCell="E35" sqref="E35"/>
    </sheetView>
  </sheetViews>
  <sheetFormatPr defaultRowHeight="18.75"/>
  <cols>
    <col min="1" max="16384" width="9.140625" style="34"/>
  </cols>
  <sheetData>
    <row r="15" spans="1:9" ht="33.75" customHeight="1">
      <c r="A15" s="120" t="s">
        <v>121</v>
      </c>
      <c r="B15" s="120"/>
      <c r="C15" s="120"/>
      <c r="D15" s="120"/>
      <c r="E15" s="120"/>
      <c r="F15" s="120"/>
      <c r="G15" s="120"/>
      <c r="H15" s="120"/>
      <c r="I15" s="120"/>
    </row>
    <row r="16" spans="1:9" ht="33.75" customHeight="1">
      <c r="A16" s="120" t="s">
        <v>120</v>
      </c>
      <c r="B16" s="120"/>
      <c r="C16" s="120"/>
      <c r="D16" s="120"/>
      <c r="E16" s="120"/>
      <c r="F16" s="120"/>
      <c r="G16" s="120"/>
      <c r="H16" s="120"/>
      <c r="I16" s="120"/>
    </row>
    <row r="17" spans="1:9" ht="33.75" customHeight="1">
      <c r="A17" s="121" t="s">
        <v>119</v>
      </c>
      <c r="B17" s="121"/>
      <c r="C17" s="121"/>
      <c r="D17" s="121"/>
      <c r="E17" s="121"/>
      <c r="F17" s="121"/>
      <c r="G17" s="121"/>
      <c r="H17" s="121"/>
      <c r="I17" s="121"/>
    </row>
    <row r="18" spans="1:9" ht="33.75" customHeight="1">
      <c r="A18" s="120" t="s">
        <v>182</v>
      </c>
      <c r="B18" s="120"/>
      <c r="C18" s="120"/>
      <c r="D18" s="120"/>
      <c r="E18" s="120"/>
      <c r="F18" s="120"/>
      <c r="G18" s="120"/>
      <c r="H18" s="120"/>
      <c r="I18" s="120"/>
    </row>
    <row r="19" spans="1:9">
      <c r="A19" s="36"/>
      <c r="B19" s="36"/>
      <c r="C19" s="36"/>
      <c r="D19" s="36"/>
      <c r="E19" s="36"/>
      <c r="F19" s="36"/>
      <c r="G19" s="36"/>
      <c r="H19" s="36"/>
      <c r="I19" s="36"/>
    </row>
    <row r="20" spans="1:9">
      <c r="A20" s="36"/>
      <c r="B20" s="36"/>
      <c r="C20" s="36"/>
      <c r="D20" s="36"/>
      <c r="E20" s="36"/>
      <c r="F20" s="36"/>
      <c r="G20" s="36"/>
      <c r="H20" s="36"/>
      <c r="I20" s="36"/>
    </row>
    <row r="21" spans="1:9">
      <c r="A21" s="36"/>
      <c r="B21" s="36"/>
      <c r="C21" s="36"/>
      <c r="D21" s="36"/>
      <c r="E21" s="36"/>
      <c r="F21" s="36"/>
      <c r="G21" s="36"/>
      <c r="H21" s="36"/>
      <c r="I21" s="36"/>
    </row>
    <row r="22" spans="1:9">
      <c r="A22" s="36"/>
      <c r="B22" s="36"/>
      <c r="C22" s="36"/>
      <c r="D22" s="36"/>
      <c r="E22" s="36"/>
      <c r="F22" s="36"/>
      <c r="G22" s="36"/>
      <c r="H22" s="36"/>
      <c r="I22" s="36"/>
    </row>
    <row r="23" spans="1:9">
      <c r="A23" s="36"/>
      <c r="B23" s="36"/>
      <c r="C23" s="36"/>
      <c r="D23" s="36"/>
      <c r="E23" s="36"/>
      <c r="F23" s="36"/>
      <c r="G23" s="36"/>
      <c r="H23" s="36"/>
      <c r="I23" s="36"/>
    </row>
    <row r="24" spans="1:9" ht="34.5" customHeight="1">
      <c r="A24" s="36"/>
      <c r="B24" s="36"/>
      <c r="C24" s="36"/>
      <c r="D24" s="36"/>
      <c r="E24" s="36"/>
      <c r="F24" s="36"/>
      <c r="G24" s="36"/>
      <c r="H24" s="36"/>
      <c r="I24" s="36"/>
    </row>
    <row r="27" spans="1:9">
      <c r="C27" s="35" t="s">
        <v>114</v>
      </c>
    </row>
  </sheetData>
  <mergeCells count="4">
    <mergeCell ref="A15:I15"/>
    <mergeCell ref="A16:I16"/>
    <mergeCell ref="A17:I17"/>
    <mergeCell ref="A18:I18"/>
  </mergeCells>
  <printOptions horizontalCentered="1"/>
  <pageMargins left="0.2" right="0.2" top="0" bottom="0" header="0.3" footer="0.3"/>
  <pageSetup scale="95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EFE2B-111C-4619-BCC7-96440E29D07F}">
  <sheetPr>
    <pageSetUpPr fitToPage="1"/>
  </sheetPr>
  <dimension ref="A1:I15"/>
  <sheetViews>
    <sheetView rightToLeft="1" view="pageBreakPreview" zoomScale="150" zoomScaleNormal="100" zoomScaleSheetLayoutView="150" workbookViewId="0">
      <selection activeCell="E18" sqref="E18"/>
    </sheetView>
  </sheetViews>
  <sheetFormatPr defaultRowHeight="12.75"/>
  <cols>
    <col min="1" max="1" width="40.28515625" style="48" customWidth="1"/>
    <col min="2" max="2" width="1.28515625" style="48" customWidth="1"/>
    <col min="3" max="3" width="19.42578125" style="48" customWidth="1"/>
    <col min="4" max="4" width="1.28515625" style="48" customWidth="1"/>
    <col min="5" max="5" width="20.7109375" style="48" customWidth="1"/>
    <col min="6" max="6" width="1.28515625" style="48" customWidth="1"/>
    <col min="7" max="7" width="19.42578125" style="48" customWidth="1"/>
    <col min="8" max="8" width="1.28515625" style="48" customWidth="1"/>
    <col min="9" max="9" width="19.42578125" style="48" customWidth="1"/>
    <col min="10" max="10" width="0.28515625" style="48" customWidth="1"/>
    <col min="11" max="16384" width="9.140625" style="48"/>
  </cols>
  <sheetData>
    <row r="1" spans="1:9" ht="29.1" customHeight="1">
      <c r="A1" s="133" t="str">
        <f>سهام!A1</f>
        <v>صندوق حفظ ارزش دماوند</v>
      </c>
      <c r="B1" s="133"/>
      <c r="C1" s="133"/>
      <c r="D1" s="133"/>
      <c r="E1" s="133"/>
      <c r="F1" s="133"/>
      <c r="G1" s="133"/>
      <c r="H1" s="133"/>
      <c r="I1" s="133"/>
    </row>
    <row r="2" spans="1:9" ht="21.75" customHeight="1">
      <c r="A2" s="133" t="s">
        <v>49</v>
      </c>
      <c r="B2" s="133"/>
      <c r="C2" s="133"/>
      <c r="D2" s="133"/>
      <c r="E2" s="133"/>
      <c r="F2" s="133"/>
      <c r="G2" s="133"/>
      <c r="H2" s="133"/>
      <c r="I2" s="133"/>
    </row>
    <row r="3" spans="1:9" ht="21.75" customHeight="1">
      <c r="A3" s="133" t="str">
        <f>سهام!A3</f>
        <v>‫برای ماه منتهی به 31 مرداد ماه 1405</v>
      </c>
      <c r="B3" s="133"/>
      <c r="C3" s="133"/>
      <c r="D3" s="133"/>
      <c r="E3" s="133"/>
      <c r="F3" s="133"/>
      <c r="G3" s="133"/>
      <c r="H3" s="133"/>
      <c r="I3" s="133"/>
    </row>
    <row r="4" spans="1:9" ht="14.45" customHeight="1"/>
    <row r="5" spans="1:9" ht="14.45" customHeight="1">
      <c r="A5" s="142" t="s">
        <v>117</v>
      </c>
      <c r="B5" s="142"/>
      <c r="C5" s="142"/>
      <c r="D5" s="142"/>
      <c r="E5" s="142"/>
      <c r="F5" s="142"/>
      <c r="G5" s="142"/>
      <c r="H5" s="142"/>
      <c r="I5" s="142"/>
    </row>
    <row r="6" spans="1:9" ht="14.45" customHeight="1">
      <c r="C6" s="136" t="s">
        <v>64</v>
      </c>
      <c r="D6" s="136"/>
      <c r="E6" s="136"/>
      <c r="G6" s="136" t="s">
        <v>65</v>
      </c>
      <c r="H6" s="136"/>
      <c r="I6" s="136"/>
    </row>
    <row r="7" spans="1:9" ht="36.4" customHeight="1">
      <c r="A7" s="63" t="s">
        <v>80</v>
      </c>
      <c r="C7" s="70" t="s">
        <v>81</v>
      </c>
      <c r="D7" s="49"/>
      <c r="E7" s="70" t="s">
        <v>82</v>
      </c>
      <c r="G7" s="70" t="s">
        <v>81</v>
      </c>
      <c r="H7" s="49"/>
      <c r="I7" s="70" t="s">
        <v>82</v>
      </c>
    </row>
    <row r="8" spans="1:9" ht="21.75" customHeight="1">
      <c r="A8" s="68" t="s">
        <v>108</v>
      </c>
      <c r="C8" s="55">
        <f>IFERROR(VLOOKUP(A8,'سود سپرده بانکی'!A:M,3,0),0)</f>
        <v>2732863</v>
      </c>
      <c r="D8" s="53"/>
      <c r="E8" s="56">
        <f>C8/$C$13*100</f>
        <v>0.70172112911002915</v>
      </c>
      <c r="F8" s="53"/>
      <c r="G8" s="55">
        <f>IFERROR(VLOOKUP(A8,'سود سپرده بانکی'!A:M,9,0),0)</f>
        <v>31559457</v>
      </c>
      <c r="H8" s="53"/>
      <c r="I8" s="56">
        <f>G8/$G$13*100</f>
        <v>2.6476526154429392</v>
      </c>
    </row>
    <row r="9" spans="1:9" ht="21.75" customHeight="1">
      <c r="A9" s="52" t="s">
        <v>109</v>
      </c>
      <c r="C9" s="55">
        <f>IFERROR(VLOOKUP(A9,'سود سپرده بانکی'!A:M,3,0),0)</f>
        <v>16093</v>
      </c>
      <c r="D9" s="53"/>
      <c r="E9" s="57">
        <f>C9/$C$13*100</f>
        <v>4.1322225558938367E-3</v>
      </c>
      <c r="F9" s="53"/>
      <c r="G9" s="55">
        <f>IFERROR(VLOOKUP(A9,'سود سپرده بانکی'!A:M,9,0),0)</f>
        <v>431573</v>
      </c>
      <c r="H9" s="53"/>
      <c r="I9" s="57">
        <f>G9/$G$13*100</f>
        <v>3.6206433532888598E-2</v>
      </c>
    </row>
    <row r="10" spans="1:9" ht="21.75" customHeight="1">
      <c r="A10" s="52" t="s">
        <v>110</v>
      </c>
      <c r="C10" s="55">
        <f>IFERROR(VLOOKUP(A10,'سود سپرده بانکی'!A:M,3,0),0)</f>
        <v>252113</v>
      </c>
      <c r="D10" s="53"/>
      <c r="E10" s="57">
        <f>C10/$C$13*100</f>
        <v>6.4735414480461259E-2</v>
      </c>
      <c r="F10" s="53"/>
      <c r="G10" s="55">
        <f>IFERROR(VLOOKUP(A10,'سود سپرده بانکی'!A:M,9,0),0)</f>
        <v>655354</v>
      </c>
      <c r="H10" s="53"/>
      <c r="I10" s="57">
        <f>G10/$G$13*100</f>
        <v>5.4980341776507499E-2</v>
      </c>
    </row>
    <row r="11" spans="1:9" ht="21.75" customHeight="1">
      <c r="A11" s="52" t="s">
        <v>111</v>
      </c>
      <c r="C11" s="55">
        <f>IFERROR(VLOOKUP(A11,'سود سپرده بانکی'!A:M,3,0),0)</f>
        <v>386438355</v>
      </c>
      <c r="D11" s="53"/>
      <c r="E11" s="57">
        <f>C11/$C$13*100</f>
        <v>99.226327409029395</v>
      </c>
      <c r="F11" s="53"/>
      <c r="G11" s="55">
        <f>IFERROR(VLOOKUP(A11,'سود سپرده بانکی'!A:M,9,0),0)</f>
        <v>1159315065</v>
      </c>
      <c r="H11" s="53"/>
      <c r="I11" s="57">
        <f>G11/$G$13*100</f>
        <v>97.259707731018665</v>
      </c>
    </row>
    <row r="12" spans="1:9" ht="21.75" customHeight="1">
      <c r="A12" s="52" t="s">
        <v>180</v>
      </c>
      <c r="C12" s="55">
        <f>IFERROR(VLOOKUP(A12,'سود سپرده بانکی'!A:M,3,0),0)</f>
        <v>12010</v>
      </c>
      <c r="D12" s="53"/>
      <c r="E12" s="57">
        <f>C12/$C$13*100</f>
        <v>3.083824824226992E-3</v>
      </c>
      <c r="F12" s="53"/>
      <c r="G12" s="55">
        <f>IFERROR(VLOOKUP(A12,'سود سپرده بانکی'!A:M,9,0),0)</f>
        <v>17318</v>
      </c>
      <c r="H12" s="53"/>
      <c r="I12" s="57">
        <f>G12/$G$13*100</f>
        <v>1.4528782289961713E-3</v>
      </c>
    </row>
    <row r="13" spans="1:9" ht="21.75" customHeight="1" thickBot="1">
      <c r="A13" s="66"/>
      <c r="C13" s="69">
        <f>SUM(C8:C12)</f>
        <v>389451434</v>
      </c>
      <c r="D13" s="53"/>
      <c r="E13" s="69">
        <f>SUM(E8:E12)</f>
        <v>100.00000000000001</v>
      </c>
      <c r="F13" s="53"/>
      <c r="G13" s="69">
        <f>SUM(G8:G12)</f>
        <v>1191978767</v>
      </c>
      <c r="H13" s="53"/>
      <c r="I13" s="69">
        <f>SUM(I8:I12)</f>
        <v>100</v>
      </c>
    </row>
    <row r="14" spans="1:9" ht="13.5" thickTop="1">
      <c r="C14" s="64"/>
      <c r="G14" s="64"/>
    </row>
    <row r="15" spans="1:9">
      <c r="C15" s="64"/>
      <c r="G15" s="64"/>
    </row>
  </sheetData>
  <mergeCells count="6">
    <mergeCell ref="A1:I1"/>
    <mergeCell ref="A2:I2"/>
    <mergeCell ref="A3:I3"/>
    <mergeCell ref="A5:I5"/>
    <mergeCell ref="C6:E6"/>
    <mergeCell ref="G6:I6"/>
  </mergeCells>
  <pageMargins left="0.39" right="0.39" top="0.39" bottom="0.39" header="0" footer="0"/>
  <pageSetup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E13"/>
  <sheetViews>
    <sheetView rightToLeft="1" view="pageBreakPreview" topLeftCell="A4" zoomScale="154" zoomScaleNormal="100" zoomScaleSheetLayoutView="154" workbookViewId="0">
      <selection activeCell="E23" sqref="E23"/>
    </sheetView>
  </sheetViews>
  <sheetFormatPr defaultRowHeight="12.75"/>
  <cols>
    <col min="1" max="1" width="41.5703125" customWidth="1"/>
    <col min="2" max="2" width="1.28515625" customWidth="1"/>
    <col min="3" max="3" width="19.42578125" customWidth="1"/>
    <col min="4" max="4" width="1.28515625" customWidth="1"/>
    <col min="5" max="5" width="19.42578125" customWidth="1"/>
    <col min="6" max="6" width="0.28515625" customWidth="1"/>
  </cols>
  <sheetData>
    <row r="1" spans="1:5" ht="29.1" customHeight="1">
      <c r="A1" s="123" t="str">
        <f>سهام!A1</f>
        <v>صندوق حفظ ارزش دماوند</v>
      </c>
      <c r="B1" s="123"/>
      <c r="C1" s="123"/>
      <c r="D1" s="123"/>
      <c r="E1" s="123"/>
    </row>
    <row r="2" spans="1:5" ht="21.75" customHeight="1">
      <c r="A2" s="123" t="s">
        <v>49</v>
      </c>
      <c r="B2" s="123"/>
      <c r="C2" s="123"/>
      <c r="D2" s="123"/>
      <c r="E2" s="123"/>
    </row>
    <row r="3" spans="1:5" ht="21.75" customHeight="1">
      <c r="A3" s="123" t="str">
        <f>سهام!A3</f>
        <v>‫برای ماه منتهی به 31 مرداد ماه 1405</v>
      </c>
      <c r="B3" s="123"/>
      <c r="C3" s="123"/>
      <c r="D3" s="123"/>
      <c r="E3" s="123"/>
    </row>
    <row r="4" spans="1:5" ht="14.45" customHeight="1"/>
    <row r="5" spans="1:5" ht="29.1" customHeight="1">
      <c r="A5" s="122" t="s">
        <v>116</v>
      </c>
      <c r="B5" s="122"/>
      <c r="C5" s="122"/>
      <c r="D5" s="122"/>
      <c r="E5" s="122"/>
    </row>
    <row r="6" spans="1:5" ht="14.45" customHeight="1">
      <c r="C6" s="2" t="s">
        <v>64</v>
      </c>
      <c r="E6" s="2" t="s">
        <v>186</v>
      </c>
    </row>
    <row r="7" spans="1:5" ht="14.45" customHeight="1">
      <c r="A7" s="13" t="s">
        <v>63</v>
      </c>
      <c r="C7" s="4" t="s">
        <v>46</v>
      </c>
      <c r="E7" s="4" t="s">
        <v>46</v>
      </c>
    </row>
    <row r="8" spans="1:5" ht="21.75" customHeight="1">
      <c r="A8" s="14" t="s">
        <v>63</v>
      </c>
      <c r="C8" s="17">
        <v>21155897</v>
      </c>
      <c r="D8" s="24"/>
      <c r="E8" s="17">
        <v>357850851</v>
      </c>
    </row>
    <row r="9" spans="1:5" ht="21.75" customHeight="1">
      <c r="A9" s="12" t="s">
        <v>83</v>
      </c>
      <c r="C9" s="18">
        <v>0</v>
      </c>
      <c r="D9" s="24"/>
      <c r="E9" s="18">
        <v>2327515</v>
      </c>
    </row>
    <row r="10" spans="1:5" ht="21.75" customHeight="1">
      <c r="A10" s="12" t="s">
        <v>84</v>
      </c>
      <c r="C10" s="30">
        <v>400994993</v>
      </c>
      <c r="D10" s="24"/>
      <c r="E10" s="30">
        <v>1784066755</v>
      </c>
    </row>
    <row r="11" spans="1:5" ht="21.75" customHeight="1" thickBot="1">
      <c r="A11" s="28"/>
      <c r="C11" s="19">
        <f>SUM(C8:C10)</f>
        <v>422150890</v>
      </c>
      <c r="D11" s="24"/>
      <c r="E11" s="19">
        <f>SUM(E8:E10)</f>
        <v>2144245121</v>
      </c>
    </row>
    <row r="12" spans="1:5" ht="13.5" thickTop="1">
      <c r="C12" s="32"/>
    </row>
    <row r="13" spans="1:5">
      <c r="C13" s="32"/>
      <c r="E13" s="32"/>
    </row>
  </sheetData>
  <mergeCells count="4">
    <mergeCell ref="A1:E1"/>
    <mergeCell ref="A2:E2"/>
    <mergeCell ref="A3:E3"/>
    <mergeCell ref="A5:E5"/>
  </mergeCells>
  <pageMargins left="0.39" right="0.39" top="0.39" bottom="0.39" header="0" footer="0"/>
  <pageSetup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2AA3F-9074-4809-8DA6-59583AE37752}">
  <dimension ref="A1:Q20"/>
  <sheetViews>
    <sheetView rightToLeft="1" view="pageBreakPreview" zoomScaleNormal="100" zoomScaleSheetLayoutView="100" workbookViewId="0">
      <selection activeCell="H27" sqref="H27"/>
    </sheetView>
  </sheetViews>
  <sheetFormatPr defaultRowHeight="15"/>
  <cols>
    <col min="1" max="1" width="17.42578125" style="37" customWidth="1"/>
    <col min="2" max="2" width="9.28515625" style="37" bestFit="1" customWidth="1"/>
    <col min="3" max="3" width="39.28515625" style="37" bestFit="1" customWidth="1"/>
    <col min="4" max="4" width="12.42578125" style="37" bestFit="1" customWidth="1"/>
    <col min="5" max="5" width="17.42578125" style="37" bestFit="1" customWidth="1"/>
    <col min="6" max="6" width="16.5703125" style="37" bestFit="1" customWidth="1"/>
    <col min="7" max="7" width="9.42578125" style="37" bestFit="1" customWidth="1"/>
    <col min="8" max="8" width="15" style="37" customWidth="1"/>
    <col min="9" max="11" width="9.140625" style="37"/>
    <col min="12" max="12" width="15.28515625" style="37" bestFit="1" customWidth="1"/>
    <col min="13" max="13" width="9.140625" style="37"/>
    <col min="14" max="14" width="15.28515625" style="37" bestFit="1" customWidth="1"/>
    <col min="15" max="16384" width="9.140625" style="37"/>
  </cols>
  <sheetData>
    <row r="1" spans="1:17" ht="26.25" customHeight="1">
      <c r="A1" s="133" t="str">
        <f>'[1]درآمد ناشی از تغییر قیمت اوراق'!A1:Q1</f>
        <v>صندوق حفظ ارزش دماوند</v>
      </c>
      <c r="B1" s="133"/>
      <c r="C1" s="133"/>
      <c r="D1" s="133"/>
      <c r="E1" s="133"/>
      <c r="F1" s="133"/>
      <c r="G1" s="133"/>
      <c r="H1" s="133"/>
      <c r="I1" s="47"/>
      <c r="J1" s="47"/>
      <c r="K1" s="47"/>
      <c r="L1" s="47"/>
      <c r="M1" s="47"/>
      <c r="N1" s="47"/>
      <c r="O1" s="47"/>
      <c r="P1" s="47"/>
      <c r="Q1" s="47"/>
    </row>
    <row r="2" spans="1:17" ht="26.25" customHeight="1">
      <c r="A2" s="133" t="s">
        <v>49</v>
      </c>
      <c r="B2" s="133"/>
      <c r="C2" s="133"/>
      <c r="D2" s="133"/>
      <c r="E2" s="133"/>
      <c r="F2" s="133"/>
      <c r="G2" s="133"/>
      <c r="H2" s="133"/>
      <c r="I2" s="47"/>
      <c r="J2" s="47"/>
      <c r="K2" s="47"/>
      <c r="L2" s="47"/>
      <c r="M2" s="47"/>
      <c r="N2" s="47"/>
      <c r="O2" s="47"/>
      <c r="P2" s="47"/>
      <c r="Q2" s="47"/>
    </row>
    <row r="3" spans="1:17" ht="25.5">
      <c r="A3" s="133" t="str">
        <f>سهام!A3</f>
        <v>‫برای ماه منتهی به 31 مرداد ماه 1405</v>
      </c>
      <c r="B3" s="133"/>
      <c r="C3" s="133"/>
      <c r="D3" s="133"/>
      <c r="E3" s="133"/>
      <c r="F3" s="133"/>
      <c r="G3" s="133"/>
      <c r="H3" s="133"/>
      <c r="I3" s="47"/>
      <c r="J3" s="47"/>
      <c r="K3" s="47"/>
      <c r="L3" s="47"/>
      <c r="M3" s="47"/>
      <c r="N3" s="47"/>
      <c r="O3" s="47"/>
      <c r="P3" s="47"/>
      <c r="Q3" s="47"/>
    </row>
    <row r="6" spans="1:17" ht="21">
      <c r="A6" s="143" t="s">
        <v>124</v>
      </c>
      <c r="B6" s="144"/>
      <c r="C6" s="144"/>
      <c r="D6" s="144"/>
      <c r="E6" s="144"/>
      <c r="F6" s="144"/>
      <c r="G6" s="144"/>
      <c r="H6" s="40"/>
    </row>
    <row r="7" spans="1:17" ht="15.75" thickBot="1">
      <c r="A7" s="40"/>
      <c r="B7" s="40"/>
      <c r="C7" s="40"/>
      <c r="D7" s="40"/>
      <c r="E7" s="40"/>
      <c r="F7" s="40"/>
      <c r="G7" s="40"/>
      <c r="H7" s="40"/>
    </row>
    <row r="8" spans="1:17" ht="51.75">
      <c r="A8" s="46" t="s">
        <v>76</v>
      </c>
      <c r="B8" s="45" t="s">
        <v>77</v>
      </c>
      <c r="C8" s="45" t="s">
        <v>78</v>
      </c>
      <c r="D8" s="45" t="s">
        <v>37</v>
      </c>
      <c r="E8" s="45" t="s">
        <v>79</v>
      </c>
      <c r="F8" s="44" t="s">
        <v>75</v>
      </c>
      <c r="G8" s="44" t="s">
        <v>123</v>
      </c>
      <c r="H8" s="44" t="s">
        <v>122</v>
      </c>
    </row>
    <row r="9" spans="1:17" ht="18">
      <c r="A9" s="145" t="s">
        <v>171</v>
      </c>
      <c r="B9" s="145" t="s">
        <v>172</v>
      </c>
      <c r="C9" s="43" t="s">
        <v>163</v>
      </c>
      <c r="D9" s="42">
        <v>237600</v>
      </c>
      <c r="E9" s="42">
        <f t="shared" ref="E9:E10" si="0">D9*1000000</f>
        <v>237600000000</v>
      </c>
      <c r="F9" s="42">
        <v>1605946204</v>
      </c>
      <c r="G9" s="42">
        <v>23</v>
      </c>
      <c r="H9" s="41" t="s">
        <v>165</v>
      </c>
    </row>
    <row r="10" spans="1:17" ht="18">
      <c r="A10" s="145"/>
      <c r="B10" s="145"/>
      <c r="C10" s="43" t="s">
        <v>164</v>
      </c>
      <c r="D10" s="42">
        <v>142000</v>
      </c>
      <c r="E10" s="42">
        <f t="shared" si="0"/>
        <v>142000000000</v>
      </c>
      <c r="F10" s="42">
        <v>954220458</v>
      </c>
      <c r="G10" s="42">
        <v>23</v>
      </c>
      <c r="H10" s="41" t="s">
        <v>181</v>
      </c>
    </row>
    <row r="11" spans="1:17" ht="18.75" thickBot="1">
      <c r="D11" s="101"/>
      <c r="E11" s="39">
        <f>SUM(E9:E10)</f>
        <v>379600000000</v>
      </c>
      <c r="F11" s="39">
        <f>SUM(F9:F10)</f>
        <v>2560166662</v>
      </c>
    </row>
    <row r="12" spans="1:17" ht="15.75" thickTop="1"/>
    <row r="13" spans="1:17">
      <c r="G13" s="38"/>
    </row>
    <row r="20" spans="3:3">
      <c r="C20" s="74"/>
    </row>
  </sheetData>
  <mergeCells count="6">
    <mergeCell ref="A1:H1"/>
    <mergeCell ref="A2:H2"/>
    <mergeCell ref="A3:H3"/>
    <mergeCell ref="A6:G6"/>
    <mergeCell ref="A9:A10"/>
    <mergeCell ref="B9:B10"/>
  </mergeCells>
  <pageMargins left="0.7" right="0.7" top="0.75" bottom="0.75" header="0.3" footer="0.3"/>
  <pageSetup scale="63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27"/>
  <sheetViews>
    <sheetView rightToLeft="1" view="pageBreakPreview" topLeftCell="A11" zoomScale="106" zoomScaleNormal="100" zoomScaleSheetLayoutView="106" workbookViewId="0">
      <selection activeCell="K40" sqref="K40"/>
    </sheetView>
  </sheetViews>
  <sheetFormatPr defaultRowHeight="12.75"/>
  <cols>
    <col min="1" max="1" width="24.7109375" style="9" bestFit="1" customWidth="1"/>
    <col min="2" max="2" width="1.28515625" style="9" customWidth="1"/>
    <col min="3" max="3" width="16.85546875" style="9" customWidth="1"/>
    <col min="4" max="4" width="1.28515625" style="9" customWidth="1"/>
    <col min="5" max="5" width="28.140625" style="9" bestFit="1" customWidth="1"/>
    <col min="6" max="6" width="1.28515625" style="9" customWidth="1"/>
    <col min="7" max="7" width="19" style="24" bestFit="1" customWidth="1"/>
    <col min="8" max="8" width="1.28515625" style="24" customWidth="1"/>
    <col min="9" max="9" width="19.140625" style="24" bestFit="1" customWidth="1"/>
    <col min="10" max="10" width="1.28515625" style="24" customWidth="1"/>
    <col min="11" max="11" width="15.28515625" style="24" bestFit="1" customWidth="1"/>
    <col min="12" max="12" width="1.28515625" style="24" customWidth="1"/>
    <col min="13" max="13" width="20.140625" style="24" bestFit="1" customWidth="1"/>
    <col min="14" max="14" width="1.28515625" style="24" customWidth="1"/>
    <col min="15" max="15" width="19.140625" style="24" bestFit="1" customWidth="1"/>
    <col min="16" max="16" width="1.28515625" style="24" customWidth="1"/>
    <col min="17" max="17" width="15.140625" style="24" bestFit="1" customWidth="1"/>
    <col min="18" max="18" width="1.28515625" style="24" customWidth="1"/>
    <col min="19" max="19" width="20.140625" style="24" bestFit="1" customWidth="1"/>
    <col min="20" max="20" width="7.7109375" style="9" customWidth="1"/>
    <col min="21" max="16384" width="9.140625" style="9"/>
  </cols>
  <sheetData>
    <row r="1" spans="1:19" ht="29.1" customHeight="1">
      <c r="A1" s="123" t="str">
        <f>سهام!A1</f>
        <v>صندوق حفظ ارزش دماوند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</row>
    <row r="2" spans="1:19" ht="21.75" customHeight="1">
      <c r="A2" s="123" t="s">
        <v>49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</row>
    <row r="3" spans="1:19" ht="21.75" customHeight="1">
      <c r="A3" s="123" t="str">
        <f>سهام!A3</f>
        <v>‫برای ماه منتهی به 31 مرداد ماه 1405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</row>
    <row r="4" spans="1:19" ht="14.45" customHeight="1"/>
    <row r="5" spans="1:19" ht="14.45" customHeight="1">
      <c r="A5" s="140" t="s">
        <v>67</v>
      </c>
      <c r="B5" s="140"/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</row>
    <row r="6" spans="1:19" ht="14.45" customHeight="1">
      <c r="A6" s="125" t="s">
        <v>28</v>
      </c>
      <c r="C6" s="125" t="s">
        <v>85</v>
      </c>
      <c r="D6" s="125"/>
      <c r="E6" s="125"/>
      <c r="F6" s="125"/>
      <c r="G6" s="125"/>
      <c r="I6" s="125" t="s">
        <v>64</v>
      </c>
      <c r="J6" s="125"/>
      <c r="K6" s="125"/>
      <c r="L6" s="125"/>
      <c r="M6" s="125"/>
      <c r="O6" s="125" t="s">
        <v>65</v>
      </c>
      <c r="P6" s="125"/>
      <c r="Q6" s="125"/>
      <c r="R6" s="125"/>
      <c r="S6" s="125"/>
    </row>
    <row r="7" spans="1:19" ht="29.1" customHeight="1">
      <c r="A7" s="125"/>
      <c r="C7" s="8" t="s">
        <v>86</v>
      </c>
      <c r="D7" s="10"/>
      <c r="E7" s="8" t="s">
        <v>87</v>
      </c>
      <c r="F7" s="10"/>
      <c r="G7" s="8" t="s">
        <v>88</v>
      </c>
      <c r="I7" s="8" t="s">
        <v>89</v>
      </c>
      <c r="J7" s="25"/>
      <c r="K7" s="8" t="s">
        <v>90</v>
      </c>
      <c r="L7" s="25"/>
      <c r="M7" s="8" t="s">
        <v>91</v>
      </c>
      <c r="O7" s="8" t="s">
        <v>89</v>
      </c>
      <c r="P7" s="25"/>
      <c r="Q7" s="8" t="s">
        <v>90</v>
      </c>
      <c r="R7" s="25"/>
      <c r="S7" s="8" t="s">
        <v>91</v>
      </c>
    </row>
    <row r="8" spans="1:19" customFormat="1" ht="21.75" customHeight="1">
      <c r="A8" s="6" t="s">
        <v>158</v>
      </c>
      <c r="B8" s="24"/>
      <c r="C8" s="27" t="s">
        <v>189</v>
      </c>
      <c r="D8" s="24"/>
      <c r="E8" s="18">
        <v>1400000</v>
      </c>
      <c r="F8" s="18"/>
      <c r="G8" s="109">
        <v>3000</v>
      </c>
      <c r="H8" s="102"/>
      <c r="I8" s="89">
        <v>4200000000</v>
      </c>
      <c r="J8" s="86"/>
      <c r="K8" s="89">
        <v>0</v>
      </c>
      <c r="L8" s="86"/>
      <c r="M8" s="89">
        <f>I8+K8</f>
        <v>4200000000</v>
      </c>
      <c r="N8" s="86"/>
      <c r="O8" s="89">
        <v>4200000000</v>
      </c>
      <c r="P8" s="86"/>
      <c r="Q8" s="89">
        <v>0</v>
      </c>
      <c r="R8" s="86"/>
      <c r="S8" s="89">
        <f>O8+Q8</f>
        <v>4200000000</v>
      </c>
    </row>
    <row r="9" spans="1:19" customFormat="1" ht="21.75" customHeight="1">
      <c r="A9" s="6" t="s">
        <v>155</v>
      </c>
      <c r="B9" s="24"/>
      <c r="C9" s="27" t="s">
        <v>173</v>
      </c>
      <c r="D9" s="24"/>
      <c r="E9" s="18">
        <v>4200000</v>
      </c>
      <c r="F9" s="18"/>
      <c r="G9" s="109">
        <v>850</v>
      </c>
      <c r="H9" s="102"/>
      <c r="I9" s="89">
        <v>0</v>
      </c>
      <c r="J9" s="86"/>
      <c r="K9" s="89">
        <v>0</v>
      </c>
      <c r="L9" s="86"/>
      <c r="M9" s="89">
        <f t="shared" ref="M9:M25" si="0">I9+K9</f>
        <v>0</v>
      </c>
      <c r="N9" s="86"/>
      <c r="O9" s="89">
        <v>3570000000</v>
      </c>
      <c r="P9" s="86"/>
      <c r="Q9" s="89">
        <v>-48243243</v>
      </c>
      <c r="R9" s="86"/>
      <c r="S9" s="89">
        <f t="shared" ref="S9:S25" si="1">O9+Q9</f>
        <v>3521756757</v>
      </c>
    </row>
    <row r="10" spans="1:19" customFormat="1" ht="21.75" customHeight="1">
      <c r="A10" s="6" t="s">
        <v>24</v>
      </c>
      <c r="B10" s="24"/>
      <c r="C10" s="27" t="s">
        <v>166</v>
      </c>
      <c r="D10" s="24"/>
      <c r="E10" s="18">
        <v>2828571</v>
      </c>
      <c r="F10" s="18"/>
      <c r="G10" s="109">
        <v>450</v>
      </c>
      <c r="H10" s="102"/>
      <c r="I10" s="89">
        <v>1272856950</v>
      </c>
      <c r="J10" s="86"/>
      <c r="K10" s="89">
        <v>-26464497</v>
      </c>
      <c r="L10" s="86"/>
      <c r="M10" s="89">
        <f t="shared" si="0"/>
        <v>1246392453</v>
      </c>
      <c r="N10" s="86"/>
      <c r="O10" s="89">
        <v>1272856950</v>
      </c>
      <c r="P10" s="86"/>
      <c r="Q10" s="89">
        <v>-26464497</v>
      </c>
      <c r="R10" s="86"/>
      <c r="S10" s="89">
        <f t="shared" si="1"/>
        <v>1246392453</v>
      </c>
    </row>
    <row r="11" spans="1:19" customFormat="1" ht="21.75" customHeight="1">
      <c r="A11" s="6" t="s">
        <v>150</v>
      </c>
      <c r="B11" s="24"/>
      <c r="C11" s="27" t="s">
        <v>174</v>
      </c>
      <c r="D11" s="24"/>
      <c r="E11" s="18">
        <v>9282071</v>
      </c>
      <c r="F11" s="18"/>
      <c r="G11" s="109">
        <v>350</v>
      </c>
      <c r="H11" s="102"/>
      <c r="I11" s="89">
        <v>0</v>
      </c>
      <c r="J11" s="86"/>
      <c r="K11" s="89">
        <v>0</v>
      </c>
      <c r="L11" s="86"/>
      <c r="M11" s="89">
        <f t="shared" si="0"/>
        <v>0</v>
      </c>
      <c r="N11" s="86"/>
      <c r="O11" s="89">
        <v>3248724850</v>
      </c>
      <c r="P11" s="86"/>
      <c r="Q11" s="89">
        <v>-90843172</v>
      </c>
      <c r="R11" s="86"/>
      <c r="S11" s="89">
        <f t="shared" si="1"/>
        <v>3157881678</v>
      </c>
    </row>
    <row r="12" spans="1:19" customFormat="1" ht="21.75" customHeight="1">
      <c r="A12" s="6" t="s">
        <v>142</v>
      </c>
      <c r="B12" s="24"/>
      <c r="C12" s="27" t="s">
        <v>175</v>
      </c>
      <c r="D12" s="24"/>
      <c r="E12" s="18">
        <v>5000000</v>
      </c>
      <c r="F12" s="18"/>
      <c r="G12" s="109">
        <v>930</v>
      </c>
      <c r="H12" s="102"/>
      <c r="I12" s="89">
        <v>0</v>
      </c>
      <c r="J12" s="86"/>
      <c r="K12" s="89">
        <v>0</v>
      </c>
      <c r="L12" s="86"/>
      <c r="M12" s="89">
        <f t="shared" si="0"/>
        <v>0</v>
      </c>
      <c r="N12" s="86"/>
      <c r="O12" s="89">
        <v>4650000000</v>
      </c>
      <c r="P12" s="86"/>
      <c r="Q12" s="89">
        <v>-272823985</v>
      </c>
      <c r="R12" s="86"/>
      <c r="S12" s="89">
        <f t="shared" si="1"/>
        <v>4377176015</v>
      </c>
    </row>
    <row r="13" spans="1:19" customFormat="1" ht="21.75" customHeight="1">
      <c r="A13" s="6" t="s">
        <v>146</v>
      </c>
      <c r="B13" s="24"/>
      <c r="C13" s="27" t="s">
        <v>161</v>
      </c>
      <c r="D13" s="24"/>
      <c r="E13" s="18">
        <v>500000</v>
      </c>
      <c r="F13" s="18"/>
      <c r="G13" s="109">
        <v>6928</v>
      </c>
      <c r="H13" s="102"/>
      <c r="I13" s="89">
        <v>0</v>
      </c>
      <c r="J13" s="86"/>
      <c r="K13" s="89">
        <v>0</v>
      </c>
      <c r="L13" s="86"/>
      <c r="M13" s="89">
        <f t="shared" si="0"/>
        <v>0</v>
      </c>
      <c r="N13" s="86"/>
      <c r="O13" s="89">
        <v>3464000000</v>
      </c>
      <c r="P13" s="86"/>
      <c r="Q13" s="89">
        <v>-99103127</v>
      </c>
      <c r="R13" s="86"/>
      <c r="S13" s="89">
        <f t="shared" si="1"/>
        <v>3364896873</v>
      </c>
    </row>
    <row r="14" spans="1:19" customFormat="1" ht="21.75" customHeight="1">
      <c r="A14" s="6" t="s">
        <v>15</v>
      </c>
      <c r="B14" s="24"/>
      <c r="C14" s="27" t="s">
        <v>175</v>
      </c>
      <c r="D14" s="24"/>
      <c r="E14" s="18">
        <v>20000000</v>
      </c>
      <c r="F14" s="18"/>
      <c r="G14" s="109">
        <v>740</v>
      </c>
      <c r="H14" s="102"/>
      <c r="I14" s="89">
        <v>0</v>
      </c>
      <c r="J14" s="86"/>
      <c r="K14" s="89">
        <v>0</v>
      </c>
      <c r="L14" s="86"/>
      <c r="M14" s="89">
        <f t="shared" si="0"/>
        <v>0</v>
      </c>
      <c r="N14" s="86"/>
      <c r="O14" s="89">
        <v>14800000000</v>
      </c>
      <c r="P14" s="86"/>
      <c r="Q14" s="89">
        <v>-160433604</v>
      </c>
      <c r="R14" s="86"/>
      <c r="S14" s="89">
        <f t="shared" si="1"/>
        <v>14639566396</v>
      </c>
    </row>
    <row r="15" spans="1:19" customFormat="1" ht="21.75" customHeight="1">
      <c r="A15" s="6" t="s">
        <v>126</v>
      </c>
      <c r="B15" s="24"/>
      <c r="C15" s="27" t="s">
        <v>190</v>
      </c>
      <c r="D15" s="24"/>
      <c r="E15" s="18">
        <v>63322195</v>
      </c>
      <c r="F15" s="18"/>
      <c r="G15" s="109">
        <v>55</v>
      </c>
      <c r="H15" s="102"/>
      <c r="I15" s="89">
        <v>3482720725</v>
      </c>
      <c r="J15" s="86"/>
      <c r="K15" s="89">
        <v>-99638717</v>
      </c>
      <c r="L15" s="86"/>
      <c r="M15" s="89">
        <f t="shared" si="0"/>
        <v>3383082008</v>
      </c>
      <c r="N15" s="86"/>
      <c r="O15" s="89">
        <v>3482720725</v>
      </c>
      <c r="P15" s="86"/>
      <c r="Q15" s="89">
        <v>-99638717</v>
      </c>
      <c r="R15" s="86"/>
      <c r="S15" s="89">
        <f t="shared" si="1"/>
        <v>3383082008</v>
      </c>
    </row>
    <row r="16" spans="1:19" customFormat="1" ht="21.75" customHeight="1">
      <c r="A16" s="6" t="s">
        <v>152</v>
      </c>
      <c r="B16" s="24"/>
      <c r="C16" s="27" t="s">
        <v>166</v>
      </c>
      <c r="D16" s="24"/>
      <c r="E16" s="18">
        <v>10200000</v>
      </c>
      <c r="F16" s="18"/>
      <c r="G16" s="109">
        <v>350</v>
      </c>
      <c r="H16" s="102"/>
      <c r="I16" s="89">
        <v>0</v>
      </c>
      <c r="J16" s="86"/>
      <c r="K16" s="89">
        <v>0</v>
      </c>
      <c r="L16" s="86"/>
      <c r="M16" s="89">
        <f t="shared" si="0"/>
        <v>0</v>
      </c>
      <c r="N16" s="86"/>
      <c r="O16" s="89">
        <v>3570000000</v>
      </c>
      <c r="P16" s="86"/>
      <c r="Q16" s="89">
        <v>-209458414</v>
      </c>
      <c r="R16" s="86"/>
      <c r="S16" s="89">
        <f t="shared" si="1"/>
        <v>3360541586</v>
      </c>
    </row>
    <row r="17" spans="1:19" customFormat="1" ht="21.75" customHeight="1">
      <c r="A17" s="6" t="s">
        <v>14</v>
      </c>
      <c r="B17" s="24"/>
      <c r="C17" s="27" t="s">
        <v>166</v>
      </c>
      <c r="D17" s="24"/>
      <c r="E17" s="18">
        <v>182462192</v>
      </c>
      <c r="F17" s="18"/>
      <c r="G17" s="109">
        <v>46</v>
      </c>
      <c r="H17" s="102"/>
      <c r="I17" s="89">
        <v>8393260832</v>
      </c>
      <c r="J17" s="86"/>
      <c r="K17" s="89">
        <v>0</v>
      </c>
      <c r="L17" s="86"/>
      <c r="M17" s="89">
        <f t="shared" si="0"/>
        <v>8393260832</v>
      </c>
      <c r="N17" s="86"/>
      <c r="O17" s="89">
        <v>8393260832</v>
      </c>
      <c r="P17" s="86"/>
      <c r="Q17" s="89">
        <v>0</v>
      </c>
      <c r="R17" s="86"/>
      <c r="S17" s="89">
        <f t="shared" si="1"/>
        <v>8393260832</v>
      </c>
    </row>
    <row r="18" spans="1:19" customFormat="1" ht="21.75" customHeight="1">
      <c r="A18" s="6" t="s">
        <v>149</v>
      </c>
      <c r="B18" s="24"/>
      <c r="C18" s="27" t="s">
        <v>186</v>
      </c>
      <c r="D18" s="24"/>
      <c r="E18" s="18">
        <v>2700000</v>
      </c>
      <c r="F18" s="18"/>
      <c r="G18" s="109">
        <v>650</v>
      </c>
      <c r="H18" s="102"/>
      <c r="I18" s="89">
        <v>1755000000</v>
      </c>
      <c r="J18" s="86"/>
      <c r="K18" s="89">
        <v>-17847458</v>
      </c>
      <c r="L18" s="86"/>
      <c r="M18" s="89">
        <f t="shared" si="0"/>
        <v>1737152542</v>
      </c>
      <c r="N18" s="86"/>
      <c r="O18" s="89">
        <v>1755000000</v>
      </c>
      <c r="P18" s="86"/>
      <c r="Q18" s="89">
        <v>-17847458</v>
      </c>
      <c r="R18" s="86"/>
      <c r="S18" s="89">
        <f t="shared" si="1"/>
        <v>1737152542</v>
      </c>
    </row>
    <row r="19" spans="1:19" customFormat="1" ht="21.75" customHeight="1">
      <c r="A19" s="6" t="s">
        <v>156</v>
      </c>
      <c r="B19" s="24"/>
      <c r="C19" s="27" t="s">
        <v>176</v>
      </c>
      <c r="D19" s="24"/>
      <c r="E19" s="18">
        <v>4000000</v>
      </c>
      <c r="F19" s="18"/>
      <c r="G19" s="109">
        <v>1600</v>
      </c>
      <c r="H19" s="102"/>
      <c r="I19" s="89">
        <v>0</v>
      </c>
      <c r="J19" s="86"/>
      <c r="K19" s="89">
        <v>0</v>
      </c>
      <c r="L19" s="86"/>
      <c r="M19" s="89">
        <f t="shared" si="0"/>
        <v>0</v>
      </c>
      <c r="N19" s="86"/>
      <c r="O19" s="89">
        <v>6400000000</v>
      </c>
      <c r="P19" s="86"/>
      <c r="Q19" s="89">
        <v>0</v>
      </c>
      <c r="R19" s="86"/>
      <c r="S19" s="89">
        <f t="shared" si="1"/>
        <v>6400000000</v>
      </c>
    </row>
    <row r="20" spans="1:19" customFormat="1" ht="21.75" customHeight="1">
      <c r="A20" s="6" t="s">
        <v>140</v>
      </c>
      <c r="B20" s="24"/>
      <c r="C20" s="27" t="s">
        <v>177</v>
      </c>
      <c r="D20" s="24"/>
      <c r="E20" s="18">
        <v>1250000</v>
      </c>
      <c r="F20" s="18"/>
      <c r="G20" s="109">
        <v>4040</v>
      </c>
      <c r="H20" s="102"/>
      <c r="I20" s="89">
        <v>0</v>
      </c>
      <c r="J20" s="86"/>
      <c r="K20" s="89">
        <v>0</v>
      </c>
      <c r="L20" s="86"/>
      <c r="M20" s="89">
        <f t="shared" si="0"/>
        <v>0</v>
      </c>
      <c r="N20" s="86"/>
      <c r="O20" s="89">
        <v>5050000000</v>
      </c>
      <c r="P20" s="86"/>
      <c r="Q20" s="89">
        <v>-154249668</v>
      </c>
      <c r="R20" s="86"/>
      <c r="S20" s="89">
        <f t="shared" si="1"/>
        <v>4895750332</v>
      </c>
    </row>
    <row r="21" spans="1:19" customFormat="1" ht="21.75" customHeight="1">
      <c r="A21" s="6" t="s">
        <v>129</v>
      </c>
      <c r="B21" s="24"/>
      <c r="C21" s="27" t="s">
        <v>162</v>
      </c>
      <c r="D21" s="24"/>
      <c r="E21" s="18">
        <v>19000000</v>
      </c>
      <c r="F21" s="18"/>
      <c r="G21" s="109">
        <v>530</v>
      </c>
      <c r="H21" s="102"/>
      <c r="I21" s="89">
        <v>0</v>
      </c>
      <c r="J21" s="86"/>
      <c r="K21" s="89">
        <v>0</v>
      </c>
      <c r="L21" s="86"/>
      <c r="M21" s="89">
        <f t="shared" si="0"/>
        <v>0</v>
      </c>
      <c r="N21" s="86"/>
      <c r="O21" s="89">
        <v>10070000000</v>
      </c>
      <c r="P21" s="86"/>
      <c r="Q21" s="89">
        <v>0</v>
      </c>
      <c r="R21" s="86"/>
      <c r="S21" s="89">
        <f t="shared" si="1"/>
        <v>10070000000</v>
      </c>
    </row>
    <row r="22" spans="1:19" customFormat="1" ht="21.75" customHeight="1">
      <c r="A22" s="6" t="s">
        <v>143</v>
      </c>
      <c r="B22" s="24"/>
      <c r="C22" s="27" t="s">
        <v>173</v>
      </c>
      <c r="D22" s="24"/>
      <c r="E22" s="18">
        <v>8093726</v>
      </c>
      <c r="F22" s="18"/>
      <c r="G22" s="109">
        <v>330</v>
      </c>
      <c r="H22" s="102"/>
      <c r="I22" s="89">
        <v>0</v>
      </c>
      <c r="J22" s="86"/>
      <c r="K22" s="89">
        <v>0</v>
      </c>
      <c r="L22" s="86"/>
      <c r="M22" s="89">
        <f t="shared" si="0"/>
        <v>0</v>
      </c>
      <c r="N22" s="86"/>
      <c r="O22" s="89">
        <v>2670929580</v>
      </c>
      <c r="P22" s="86"/>
      <c r="Q22" s="89">
        <v>-156708312</v>
      </c>
      <c r="R22" s="86"/>
      <c r="S22" s="89">
        <f t="shared" si="1"/>
        <v>2514221268</v>
      </c>
    </row>
    <row r="23" spans="1:19" customFormat="1" ht="21.75" customHeight="1">
      <c r="A23" s="6" t="s">
        <v>151</v>
      </c>
      <c r="B23" s="24"/>
      <c r="C23" s="27" t="s">
        <v>178</v>
      </c>
      <c r="D23" s="24"/>
      <c r="E23" s="18">
        <v>100000</v>
      </c>
      <c r="F23" s="18"/>
      <c r="G23" s="109">
        <v>1600</v>
      </c>
      <c r="H23" s="102"/>
      <c r="I23" s="89">
        <v>0</v>
      </c>
      <c r="J23" s="86"/>
      <c r="K23" s="89">
        <v>0</v>
      </c>
      <c r="L23" s="86"/>
      <c r="M23" s="89">
        <f t="shared" si="0"/>
        <v>0</v>
      </c>
      <c r="N23" s="86"/>
      <c r="O23" s="89">
        <v>160000000</v>
      </c>
      <c r="P23" s="86"/>
      <c r="Q23" s="89">
        <v>0</v>
      </c>
      <c r="R23" s="86"/>
      <c r="S23" s="89">
        <f t="shared" si="1"/>
        <v>160000000</v>
      </c>
    </row>
    <row r="24" spans="1:19" customFormat="1" ht="21.75" customHeight="1">
      <c r="A24" s="6" t="s">
        <v>169</v>
      </c>
      <c r="B24" s="24"/>
      <c r="C24" s="27" t="s">
        <v>166</v>
      </c>
      <c r="D24" s="24"/>
      <c r="E24" s="18">
        <v>2000000</v>
      </c>
      <c r="F24" s="18"/>
      <c r="G24" s="109">
        <v>3500</v>
      </c>
      <c r="H24" s="102"/>
      <c r="I24" s="89">
        <v>7000000000</v>
      </c>
      <c r="J24" s="86"/>
      <c r="K24" s="89">
        <v>0</v>
      </c>
      <c r="L24" s="86"/>
      <c r="M24" s="89">
        <f t="shared" si="0"/>
        <v>7000000000</v>
      </c>
      <c r="N24" s="86"/>
      <c r="O24" s="89">
        <v>7000000000</v>
      </c>
      <c r="P24" s="86"/>
      <c r="Q24" s="89">
        <v>0</v>
      </c>
      <c r="R24" s="86"/>
      <c r="S24" s="89">
        <f t="shared" si="1"/>
        <v>7000000000</v>
      </c>
    </row>
    <row r="25" spans="1:19" customFormat="1" ht="21.75" customHeight="1">
      <c r="A25" s="6" t="s">
        <v>157</v>
      </c>
      <c r="B25" s="24"/>
      <c r="C25" s="27" t="s">
        <v>179</v>
      </c>
      <c r="D25" s="24"/>
      <c r="E25" s="18">
        <v>219000</v>
      </c>
      <c r="F25" s="18"/>
      <c r="G25" s="109">
        <v>1177</v>
      </c>
      <c r="H25" s="102"/>
      <c r="I25" s="89">
        <v>0</v>
      </c>
      <c r="J25" s="86"/>
      <c r="K25" s="89">
        <v>0</v>
      </c>
      <c r="L25" s="86"/>
      <c r="M25" s="89">
        <f t="shared" si="0"/>
        <v>0</v>
      </c>
      <c r="N25" s="86"/>
      <c r="O25" s="89">
        <v>257763000</v>
      </c>
      <c r="P25" s="86"/>
      <c r="Q25" s="89">
        <v>0</v>
      </c>
      <c r="R25" s="86"/>
      <c r="S25" s="89">
        <f t="shared" si="1"/>
        <v>257763000</v>
      </c>
    </row>
    <row r="26" spans="1:19" ht="21.75" customHeight="1">
      <c r="A26" s="28"/>
      <c r="C26" s="18"/>
      <c r="D26" s="24"/>
      <c r="E26" s="18"/>
      <c r="F26" s="24"/>
      <c r="G26" s="109"/>
      <c r="H26" s="110"/>
      <c r="I26" s="94">
        <f>SUM(I8:I25)</f>
        <v>26103838507</v>
      </c>
      <c r="J26" s="85"/>
      <c r="K26" s="94">
        <f>SUM(K8:K25)</f>
        <v>-143950672</v>
      </c>
      <c r="L26" s="85"/>
      <c r="M26" s="94">
        <f>SUM(M8:M25)</f>
        <v>25959887835</v>
      </c>
      <c r="N26" s="85"/>
      <c r="O26" s="94">
        <f>SUM(O8:O25)</f>
        <v>84015255937</v>
      </c>
      <c r="P26" s="85"/>
      <c r="Q26" s="94">
        <f>SUM(Q8:Q25)</f>
        <v>-1335814197</v>
      </c>
      <c r="R26" s="85"/>
      <c r="S26" s="94">
        <f>SUM(S8:S25)</f>
        <v>82679441740</v>
      </c>
    </row>
    <row r="27" spans="1:19">
      <c r="I27" s="29"/>
      <c r="O27" s="29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63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Q12"/>
  <sheetViews>
    <sheetView rightToLeft="1" view="pageBreakPreview" zoomScaleNormal="100" zoomScaleSheetLayoutView="100" workbookViewId="0">
      <selection activeCell="O30" sqref="O30"/>
    </sheetView>
  </sheetViews>
  <sheetFormatPr defaultRowHeight="12.75"/>
  <cols>
    <col min="1" max="1" width="29.7109375" bestFit="1" customWidth="1"/>
    <col min="2" max="2" width="1.28515625" customWidth="1"/>
    <col min="3" max="3" width="12.85546875" bestFit="1" customWidth="1"/>
    <col min="4" max="4" width="1.28515625" customWidth="1"/>
    <col min="5" max="5" width="18.7109375" bestFit="1" customWidth="1"/>
    <col min="6" max="6" width="1.28515625" customWidth="1"/>
    <col min="7" max="7" width="15.7109375" bestFit="1" customWidth="1"/>
    <col min="8" max="8" width="1.28515625" customWidth="1"/>
    <col min="9" max="9" width="10.7109375" bestFit="1" customWidth="1"/>
    <col min="10" max="10" width="1.28515625" customWidth="1"/>
    <col min="11" max="11" width="15.7109375" bestFit="1" customWidth="1"/>
    <col min="12" max="12" width="1.28515625" customWidth="1"/>
    <col min="13" max="13" width="15.7109375" bestFit="1" customWidth="1"/>
    <col min="14" max="14" width="1.28515625" customWidth="1"/>
    <col min="15" max="15" width="10.7109375" bestFit="1" customWidth="1"/>
    <col min="16" max="16" width="1.28515625" customWidth="1"/>
    <col min="17" max="17" width="15.7109375" bestFit="1" customWidth="1"/>
    <col min="18" max="18" width="0.28515625" customWidth="1"/>
  </cols>
  <sheetData>
    <row r="1" spans="1:17" ht="29.1" customHeight="1">
      <c r="A1" s="123" t="str">
        <f>سهام!A1</f>
        <v>صندوق حفظ ارزش دماوند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</row>
    <row r="2" spans="1:17" ht="21.75" customHeight="1">
      <c r="A2" s="123" t="s">
        <v>49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</row>
    <row r="3" spans="1:17" ht="21.75" customHeight="1">
      <c r="A3" s="123" t="str">
        <f>سهام!A3</f>
        <v>‫برای ماه منتهی به 31 مرداد ماه 1405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</row>
    <row r="4" spans="1:17" ht="14.45" customHeight="1"/>
    <row r="5" spans="1:17" ht="14.45" customHeight="1">
      <c r="A5" s="140" t="s">
        <v>92</v>
      </c>
      <c r="B5" s="140"/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</row>
    <row r="6" spans="1:17" ht="14.45" customHeight="1">
      <c r="A6" s="125" t="s">
        <v>52</v>
      </c>
      <c r="G6" s="125" t="s">
        <v>64</v>
      </c>
      <c r="H6" s="125"/>
      <c r="I6" s="125"/>
      <c r="J6" s="125"/>
      <c r="K6" s="125"/>
      <c r="M6" s="125" t="s">
        <v>65</v>
      </c>
      <c r="N6" s="125"/>
      <c r="O6" s="125"/>
      <c r="P6" s="125"/>
      <c r="Q6" s="125"/>
    </row>
    <row r="7" spans="1:17" ht="36.75" customHeight="1">
      <c r="A7" s="125"/>
      <c r="C7" s="7" t="s">
        <v>42</v>
      </c>
      <c r="E7" s="7" t="s">
        <v>93</v>
      </c>
      <c r="G7" s="8" t="s">
        <v>94</v>
      </c>
      <c r="H7" s="3"/>
      <c r="I7" s="8" t="s">
        <v>90</v>
      </c>
      <c r="J7" s="3"/>
      <c r="K7" s="8" t="s">
        <v>95</v>
      </c>
      <c r="M7" s="8" t="s">
        <v>94</v>
      </c>
      <c r="N7" s="3"/>
      <c r="O7" s="8" t="s">
        <v>90</v>
      </c>
      <c r="P7" s="3"/>
      <c r="Q7" s="8" t="s">
        <v>95</v>
      </c>
    </row>
    <row r="8" spans="1:17" ht="21.75" customHeight="1">
      <c r="A8" s="26" t="s">
        <v>74</v>
      </c>
      <c r="B8" s="24"/>
      <c r="C8" s="26" t="s">
        <v>96</v>
      </c>
      <c r="E8" s="17">
        <v>23</v>
      </c>
      <c r="G8" s="92">
        <v>4582038068</v>
      </c>
      <c r="H8" s="85"/>
      <c r="I8" s="92">
        <v>0</v>
      </c>
      <c r="J8" s="85"/>
      <c r="K8" s="84">
        <f>G8+I8</f>
        <v>4582038068</v>
      </c>
      <c r="L8" s="85"/>
      <c r="M8" s="84">
        <v>11541577220</v>
      </c>
      <c r="N8" s="85"/>
      <c r="O8" s="92">
        <v>0</v>
      </c>
      <c r="P8" s="85"/>
      <c r="Q8" s="84">
        <f>M8+O8</f>
        <v>11541577220</v>
      </c>
    </row>
    <row r="9" spans="1:17" ht="21.75" customHeight="1">
      <c r="A9" s="27" t="s">
        <v>73</v>
      </c>
      <c r="B9" s="24"/>
      <c r="C9" s="27" t="s">
        <v>97</v>
      </c>
      <c r="E9" s="18">
        <v>23</v>
      </c>
      <c r="G9" s="84">
        <v>5948146482</v>
      </c>
      <c r="H9" s="85"/>
      <c r="I9" s="84">
        <v>0</v>
      </c>
      <c r="J9" s="85"/>
      <c r="K9" s="84">
        <f t="shared" ref="K9:K10" si="0">G9+I9</f>
        <v>5948146482</v>
      </c>
      <c r="L9" s="85"/>
      <c r="M9" s="84">
        <v>11023253920</v>
      </c>
      <c r="N9" s="85"/>
      <c r="O9" s="84">
        <v>0</v>
      </c>
      <c r="P9" s="85"/>
      <c r="Q9" s="84">
        <f t="shared" ref="Q9:Q10" si="1">M9+O9</f>
        <v>11023253920</v>
      </c>
    </row>
    <row r="10" spans="1:17" ht="21.75" customHeight="1">
      <c r="A10" s="27" t="s">
        <v>72</v>
      </c>
      <c r="B10" s="24"/>
      <c r="C10" s="27" t="s">
        <v>98</v>
      </c>
      <c r="E10" s="18">
        <v>23</v>
      </c>
      <c r="G10" s="84">
        <v>0</v>
      </c>
      <c r="H10" s="85"/>
      <c r="I10" s="84">
        <v>0</v>
      </c>
      <c r="J10" s="85"/>
      <c r="K10" s="84">
        <f t="shared" si="0"/>
        <v>0</v>
      </c>
      <c r="L10" s="85"/>
      <c r="M10" s="84">
        <v>1554333893</v>
      </c>
      <c r="N10" s="85"/>
      <c r="O10" s="84">
        <v>0</v>
      </c>
      <c r="P10" s="85"/>
      <c r="Q10" s="84">
        <f t="shared" si="1"/>
        <v>1554333893</v>
      </c>
    </row>
    <row r="11" spans="1:17" ht="21.75" customHeight="1" thickBot="1">
      <c r="A11" s="28"/>
      <c r="C11" s="31"/>
      <c r="E11" s="31"/>
      <c r="G11" s="94">
        <f>SUM(G8:G10)</f>
        <v>10530184550</v>
      </c>
      <c r="H11" s="85"/>
      <c r="I11" s="94">
        <f>SUM(I8:I10)</f>
        <v>0</v>
      </c>
      <c r="J11" s="85"/>
      <c r="K11" s="94">
        <f>SUM(K8:K10)</f>
        <v>10530184550</v>
      </c>
      <c r="L11" s="85"/>
      <c r="M11" s="94">
        <f>SUM(M8:M10)</f>
        <v>24119165033</v>
      </c>
      <c r="N11" s="85"/>
      <c r="O11" s="94">
        <f>SUM(O8:O10)</f>
        <v>0</v>
      </c>
      <c r="P11" s="85"/>
      <c r="Q11" s="94">
        <f>SUM(Q8:Q10)</f>
        <v>24119165033</v>
      </c>
    </row>
    <row r="12" spans="1:17" ht="13.5" thickTop="1">
      <c r="G12" s="32"/>
      <c r="K12" s="32"/>
      <c r="M12" s="32"/>
      <c r="Q12" s="32"/>
    </row>
  </sheetData>
  <mergeCells count="7">
    <mergeCell ref="A1:Q1"/>
    <mergeCell ref="A2:Q2"/>
    <mergeCell ref="A3:Q3"/>
    <mergeCell ref="A5:Q5"/>
    <mergeCell ref="A6:A7"/>
    <mergeCell ref="G6:K6"/>
    <mergeCell ref="M6:Q6"/>
  </mergeCells>
  <pageMargins left="0.39" right="0.39" top="0.39" bottom="0.39" header="0" footer="0"/>
  <pageSetup scale="85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6"/>
  <sheetViews>
    <sheetView rightToLeft="1" view="pageBreakPreview" topLeftCell="A2" zoomScale="136" zoomScaleNormal="100" zoomScaleSheetLayoutView="136" workbookViewId="0">
      <selection activeCell="O21" sqref="O21"/>
    </sheetView>
  </sheetViews>
  <sheetFormatPr defaultRowHeight="12.75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1.28515625" bestFit="1" customWidth="1"/>
    <col min="6" max="6" width="1.28515625" customWidth="1"/>
    <col min="7" max="7" width="15.5703125" customWidth="1"/>
    <col min="8" max="8" width="1.28515625" customWidth="1"/>
    <col min="9" max="9" width="15.5703125" bestFit="1" customWidth="1"/>
    <col min="10" max="10" width="1.28515625" customWidth="1"/>
    <col min="11" max="11" width="11.140625" bestFit="1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>
      <c r="A1" s="123" t="str">
        <f>سهام!A1</f>
        <v>صندوق حفظ ارزش دماوند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</row>
    <row r="2" spans="1:13" ht="21.75" customHeight="1">
      <c r="A2" s="123" t="s">
        <v>49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</row>
    <row r="3" spans="1:13" ht="21.75" customHeight="1">
      <c r="A3" s="123" t="str">
        <f>سهام!A3</f>
        <v>‫برای ماه منتهی به 31 مرداد ماه 1405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</row>
    <row r="4" spans="1:13" ht="14.45" customHeight="1"/>
    <row r="5" spans="1:13" ht="14.45" customHeight="1">
      <c r="A5" s="140" t="s">
        <v>99</v>
      </c>
      <c r="B5" s="140"/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</row>
    <row r="6" spans="1:13" ht="14.45" customHeight="1">
      <c r="A6" s="125" t="s">
        <v>52</v>
      </c>
      <c r="C6" s="125" t="s">
        <v>64</v>
      </c>
      <c r="D6" s="125"/>
      <c r="E6" s="125"/>
      <c r="F6" s="125"/>
      <c r="G6" s="125"/>
      <c r="I6" s="125" t="s">
        <v>65</v>
      </c>
      <c r="J6" s="125"/>
      <c r="K6" s="125"/>
      <c r="L6" s="125"/>
      <c r="M6" s="125"/>
    </row>
    <row r="7" spans="1:13" ht="29.1" customHeight="1">
      <c r="A7" s="125"/>
      <c r="C7" s="8" t="s">
        <v>94</v>
      </c>
      <c r="D7" s="3"/>
      <c r="E7" s="8" t="s">
        <v>90</v>
      </c>
      <c r="F7" s="3"/>
      <c r="G7" s="8" t="s">
        <v>95</v>
      </c>
      <c r="I7" s="8" t="s">
        <v>94</v>
      </c>
      <c r="J7" s="3"/>
      <c r="K7" s="8" t="s">
        <v>90</v>
      </c>
      <c r="L7" s="3"/>
      <c r="M7" s="8" t="s">
        <v>95</v>
      </c>
    </row>
    <row r="8" spans="1:13" ht="21.75" customHeight="1">
      <c r="A8" s="5" t="s">
        <v>108</v>
      </c>
      <c r="C8" s="92">
        <v>2732863</v>
      </c>
      <c r="D8" s="85"/>
      <c r="E8" s="92">
        <v>0</v>
      </c>
      <c r="F8" s="85"/>
      <c r="G8" s="84">
        <f t="shared" ref="G8:G11" si="0">C8+E8</f>
        <v>2732863</v>
      </c>
      <c r="H8" s="85"/>
      <c r="I8" s="92">
        <v>31559457</v>
      </c>
      <c r="J8" s="85"/>
      <c r="K8" s="92">
        <v>0</v>
      </c>
      <c r="L8" s="85"/>
      <c r="M8" s="84">
        <f>I8+K8</f>
        <v>31559457</v>
      </c>
    </row>
    <row r="9" spans="1:13" ht="21.75" customHeight="1">
      <c r="A9" s="6" t="s">
        <v>109</v>
      </c>
      <c r="C9" s="84">
        <v>16093</v>
      </c>
      <c r="D9" s="85"/>
      <c r="E9" s="84">
        <v>0</v>
      </c>
      <c r="F9" s="85"/>
      <c r="G9" s="84">
        <f t="shared" si="0"/>
        <v>16093</v>
      </c>
      <c r="H9" s="85"/>
      <c r="I9" s="84">
        <v>431573</v>
      </c>
      <c r="J9" s="85"/>
      <c r="K9" s="84">
        <v>0</v>
      </c>
      <c r="L9" s="85"/>
      <c r="M9" s="84">
        <f t="shared" ref="M9:M12" si="1">I9+K9</f>
        <v>431573</v>
      </c>
    </row>
    <row r="10" spans="1:13" ht="21.75" customHeight="1">
      <c r="A10" s="6" t="s">
        <v>110</v>
      </c>
      <c r="C10" s="84">
        <v>252113</v>
      </c>
      <c r="D10" s="84"/>
      <c r="E10" s="84">
        <v>0</v>
      </c>
      <c r="F10" s="84"/>
      <c r="G10" s="84">
        <f t="shared" si="0"/>
        <v>252113</v>
      </c>
      <c r="H10" s="84">
        <v>0</v>
      </c>
      <c r="I10" s="84">
        <v>655354</v>
      </c>
      <c r="J10" s="84">
        <v>0</v>
      </c>
      <c r="K10" s="84">
        <v>0</v>
      </c>
      <c r="L10" s="84">
        <v>0</v>
      </c>
      <c r="M10" s="84">
        <f t="shared" si="1"/>
        <v>655354</v>
      </c>
    </row>
    <row r="11" spans="1:13" ht="21.75" customHeight="1">
      <c r="A11" s="6" t="s">
        <v>180</v>
      </c>
      <c r="C11" s="84">
        <v>12010</v>
      </c>
      <c r="D11" s="84"/>
      <c r="E11" s="84">
        <v>0</v>
      </c>
      <c r="F11" s="84"/>
      <c r="G11" s="84">
        <f t="shared" si="0"/>
        <v>12010</v>
      </c>
      <c r="H11" s="84"/>
      <c r="I11" s="84">
        <v>17318</v>
      </c>
      <c r="J11" s="84"/>
      <c r="K11" s="84">
        <v>0</v>
      </c>
      <c r="L11" s="84"/>
      <c r="M11" s="84">
        <f>I11+K11</f>
        <v>17318</v>
      </c>
    </row>
    <row r="12" spans="1:13" ht="21.75" customHeight="1">
      <c r="A12" s="6" t="s">
        <v>111</v>
      </c>
      <c r="C12" s="84">
        <v>386438355</v>
      </c>
      <c r="D12" s="84">
        <v>0</v>
      </c>
      <c r="E12" s="84">
        <v>0</v>
      </c>
      <c r="F12" s="84">
        <v>0</v>
      </c>
      <c r="G12" s="84">
        <f>C12+E12</f>
        <v>386438355</v>
      </c>
      <c r="H12" s="84">
        <v>0</v>
      </c>
      <c r="I12" s="84">
        <v>1159315065</v>
      </c>
      <c r="J12" s="84">
        <v>0</v>
      </c>
      <c r="K12" s="84">
        <v>-2327515</v>
      </c>
      <c r="L12" s="84">
        <v>0</v>
      </c>
      <c r="M12" s="84">
        <f t="shared" si="1"/>
        <v>1156987550</v>
      </c>
    </row>
    <row r="13" spans="1:13" ht="21.75" customHeight="1" thickBot="1">
      <c r="A13" s="28"/>
      <c r="C13" s="93">
        <f>SUM(C8:C12)</f>
        <v>389451434</v>
      </c>
      <c r="D13" s="85"/>
      <c r="E13" s="93">
        <f>SUM(E8:E12)</f>
        <v>0</v>
      </c>
      <c r="F13" s="85"/>
      <c r="G13" s="93">
        <f>SUM(G8:G12)</f>
        <v>389451434</v>
      </c>
      <c r="H13" s="85"/>
      <c r="I13" s="93">
        <f>SUM(I8:I12)</f>
        <v>1191978767</v>
      </c>
      <c r="J13" s="85"/>
      <c r="K13" s="93">
        <f>SUM(K8:K12)</f>
        <v>-2327515</v>
      </c>
      <c r="L13" s="85"/>
      <c r="M13" s="93">
        <f>SUM(M8:M12)</f>
        <v>1189651252</v>
      </c>
    </row>
    <row r="14" spans="1:13" ht="13.5" thickTop="1">
      <c r="C14" s="33"/>
      <c r="G14" s="33"/>
      <c r="I14" s="33"/>
    </row>
    <row r="15" spans="1:13">
      <c r="C15" s="32"/>
      <c r="I15" s="32"/>
    </row>
    <row r="16" spans="1:13">
      <c r="C16" s="102"/>
      <c r="I16" s="102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S40"/>
  <sheetViews>
    <sheetView rightToLeft="1" view="pageBreakPreview" topLeftCell="A22" zoomScale="98" zoomScaleNormal="100" zoomScaleSheetLayoutView="98" workbookViewId="0">
      <selection activeCell="I39" sqref="I39"/>
    </sheetView>
  </sheetViews>
  <sheetFormatPr defaultRowHeight="12.75"/>
  <cols>
    <col min="1" max="1" width="25.42578125" bestFit="1" customWidth="1"/>
    <col min="2" max="2" width="1.28515625" customWidth="1"/>
    <col min="3" max="3" width="12" bestFit="1" customWidth="1"/>
    <col min="4" max="4" width="1.28515625" customWidth="1"/>
    <col min="5" max="5" width="17.140625" bestFit="1" customWidth="1"/>
    <col min="6" max="6" width="1.28515625" customWidth="1"/>
    <col min="7" max="7" width="17.28515625" bestFit="1" customWidth="1"/>
    <col min="8" max="8" width="1.28515625" customWidth="1"/>
    <col min="9" max="9" width="22.42578125" bestFit="1" customWidth="1"/>
    <col min="10" max="10" width="1.28515625" customWidth="1"/>
    <col min="11" max="11" width="13.140625" bestFit="1" customWidth="1"/>
    <col min="12" max="12" width="1.28515625" customWidth="1"/>
    <col min="13" max="13" width="18.85546875" bestFit="1" customWidth="1"/>
    <col min="14" max="14" width="1.28515625" customWidth="1"/>
    <col min="15" max="15" width="19" bestFit="1" customWidth="1"/>
    <col min="16" max="16" width="1.28515625" customWidth="1"/>
    <col min="17" max="17" width="22.42578125" bestFit="1" customWidth="1"/>
    <col min="18" max="18" width="17.140625" bestFit="1" customWidth="1"/>
    <col min="19" max="19" width="16.28515625" bestFit="1" customWidth="1"/>
  </cols>
  <sheetData>
    <row r="1" spans="1:18" ht="25.5">
      <c r="A1" s="123" t="str">
        <f>سهام!A1</f>
        <v>صندوق حفظ ارزش دماوند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</row>
    <row r="2" spans="1:18" ht="25.5">
      <c r="A2" s="123" t="s">
        <v>49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</row>
    <row r="3" spans="1:18" ht="25.5">
      <c r="A3" s="123" t="str">
        <f>سهام!A3</f>
        <v>‫برای ماه منتهی به 31 مرداد ماه 1405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</row>
    <row r="5" spans="1:18" ht="24">
      <c r="A5" s="140" t="s">
        <v>100</v>
      </c>
      <c r="B5" s="140"/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</row>
    <row r="6" spans="1:18" ht="21">
      <c r="A6" s="125" t="s">
        <v>52</v>
      </c>
      <c r="C6" s="125" t="s">
        <v>64</v>
      </c>
      <c r="D6" s="125"/>
      <c r="E6" s="125"/>
      <c r="F6" s="125"/>
      <c r="G6" s="125"/>
      <c r="H6" s="125"/>
      <c r="I6" s="125"/>
      <c r="J6" s="9"/>
      <c r="K6" s="125" t="s">
        <v>65</v>
      </c>
      <c r="L6" s="125"/>
      <c r="M6" s="125"/>
      <c r="N6" s="125"/>
      <c r="O6" s="125"/>
      <c r="P6" s="125"/>
      <c r="Q6" s="125"/>
    </row>
    <row r="7" spans="1:18" ht="21">
      <c r="A7" s="125"/>
      <c r="C7" s="8" t="s">
        <v>5</v>
      </c>
      <c r="D7" s="10"/>
      <c r="E7" s="8" t="s">
        <v>101</v>
      </c>
      <c r="F7" s="10"/>
      <c r="G7" s="8" t="s">
        <v>102</v>
      </c>
      <c r="H7" s="10"/>
      <c r="I7" s="8" t="s">
        <v>103</v>
      </c>
      <c r="J7" s="9"/>
      <c r="K7" s="8" t="s">
        <v>5</v>
      </c>
      <c r="L7" s="10"/>
      <c r="M7" s="8" t="s">
        <v>101</v>
      </c>
      <c r="N7" s="10"/>
      <c r="O7" s="8" t="s">
        <v>102</v>
      </c>
      <c r="P7" s="10"/>
      <c r="Q7" s="8" t="s">
        <v>103</v>
      </c>
    </row>
    <row r="8" spans="1:18" ht="18.75">
      <c r="A8" s="6" t="s">
        <v>130</v>
      </c>
      <c r="C8" s="89">
        <v>13387027</v>
      </c>
      <c r="D8" s="89"/>
      <c r="E8" s="89">
        <v>47226779671</v>
      </c>
      <c r="F8" s="89"/>
      <c r="G8" s="89">
        <v>37530681672</v>
      </c>
      <c r="H8" s="89"/>
      <c r="I8" s="89">
        <f>E8-G8</f>
        <v>9696097999</v>
      </c>
      <c r="J8" s="89"/>
      <c r="K8" s="89">
        <v>13387027</v>
      </c>
      <c r="L8" s="89"/>
      <c r="M8" s="89">
        <v>47226779671</v>
      </c>
      <c r="N8" s="89"/>
      <c r="O8" s="89">
        <v>37530681672</v>
      </c>
      <c r="P8" s="89"/>
      <c r="Q8" s="89">
        <f>M8-O8</f>
        <v>9696097999</v>
      </c>
      <c r="R8" s="32"/>
    </row>
    <row r="9" spans="1:18" ht="18.75">
      <c r="A9" s="6" t="s">
        <v>151</v>
      </c>
      <c r="C9" s="89">
        <v>100000</v>
      </c>
      <c r="D9" s="89"/>
      <c r="E9" s="89">
        <v>1958618569</v>
      </c>
      <c r="F9" s="89"/>
      <c r="G9" s="89">
        <v>1530849848</v>
      </c>
      <c r="H9" s="89"/>
      <c r="I9" s="89">
        <f t="shared" ref="I9:I34" si="0">E9-G9</f>
        <v>427768721</v>
      </c>
      <c r="J9" s="89"/>
      <c r="K9" s="89">
        <v>100000</v>
      </c>
      <c r="L9" s="89"/>
      <c r="M9" s="89">
        <v>1958618569</v>
      </c>
      <c r="N9" s="89"/>
      <c r="O9" s="89">
        <v>1530849848</v>
      </c>
      <c r="P9" s="89"/>
      <c r="Q9" s="89">
        <f t="shared" ref="Q9:Q34" si="1">M9-O9</f>
        <v>427768721</v>
      </c>
      <c r="R9" s="32"/>
    </row>
    <row r="10" spans="1:18" ht="18.75">
      <c r="A10" s="6" t="s">
        <v>140</v>
      </c>
      <c r="C10" s="89">
        <v>450000</v>
      </c>
      <c r="D10" s="89"/>
      <c r="E10" s="89">
        <v>15090148642</v>
      </c>
      <c r="F10" s="89"/>
      <c r="G10" s="89">
        <v>10828518204</v>
      </c>
      <c r="H10" s="89"/>
      <c r="I10" s="89">
        <f t="shared" si="0"/>
        <v>4261630438</v>
      </c>
      <c r="J10" s="89"/>
      <c r="K10" s="89">
        <v>450000</v>
      </c>
      <c r="L10" s="89"/>
      <c r="M10" s="89">
        <v>15090148642</v>
      </c>
      <c r="N10" s="89"/>
      <c r="O10" s="89">
        <v>10828518204</v>
      </c>
      <c r="P10" s="89"/>
      <c r="Q10" s="89">
        <f t="shared" si="1"/>
        <v>4261630438</v>
      </c>
      <c r="R10" s="32"/>
    </row>
    <row r="11" spans="1:18" ht="18.75">
      <c r="A11" s="6" t="s">
        <v>24</v>
      </c>
      <c r="C11" s="89">
        <v>1</v>
      </c>
      <c r="D11" s="89"/>
      <c r="E11" s="89">
        <v>1</v>
      </c>
      <c r="F11" s="89"/>
      <c r="G11" s="89">
        <v>13580</v>
      </c>
      <c r="H11" s="89"/>
      <c r="I11" s="89">
        <f t="shared" si="0"/>
        <v>-13579</v>
      </c>
      <c r="J11" s="89"/>
      <c r="K11" s="89">
        <v>1</v>
      </c>
      <c r="L11" s="89"/>
      <c r="M11" s="89">
        <v>1</v>
      </c>
      <c r="N11" s="89"/>
      <c r="O11" s="89">
        <v>13580</v>
      </c>
      <c r="P11" s="89"/>
      <c r="Q11" s="89">
        <f t="shared" si="1"/>
        <v>-13579</v>
      </c>
      <c r="R11" s="32"/>
    </row>
    <row r="12" spans="1:18" ht="18.75">
      <c r="A12" s="6" t="s">
        <v>126</v>
      </c>
      <c r="C12" s="89">
        <v>63322195</v>
      </c>
      <c r="D12" s="89"/>
      <c r="E12" s="89">
        <v>148678706007</v>
      </c>
      <c r="F12" s="89"/>
      <c r="G12" s="89">
        <v>64288316434</v>
      </c>
      <c r="H12" s="89"/>
      <c r="I12" s="89">
        <f t="shared" si="0"/>
        <v>84390389573</v>
      </c>
      <c r="J12" s="89"/>
      <c r="K12" s="89">
        <v>63322195</v>
      </c>
      <c r="L12" s="89"/>
      <c r="M12" s="89">
        <v>148678706007</v>
      </c>
      <c r="N12" s="89"/>
      <c r="O12" s="89">
        <v>64288316434</v>
      </c>
      <c r="P12" s="89"/>
      <c r="Q12" s="89">
        <f t="shared" si="1"/>
        <v>84390389573</v>
      </c>
      <c r="R12" s="32"/>
    </row>
    <row r="13" spans="1:18" ht="18.75">
      <c r="A13" s="6" t="s">
        <v>157</v>
      </c>
      <c r="C13" s="89">
        <v>0</v>
      </c>
      <c r="D13" s="89"/>
      <c r="E13" s="89">
        <v>0</v>
      </c>
      <c r="F13" s="89"/>
      <c r="G13" s="89">
        <v>0</v>
      </c>
      <c r="H13" s="89"/>
      <c r="I13" s="89">
        <f t="shared" si="0"/>
        <v>0</v>
      </c>
      <c r="J13" s="89"/>
      <c r="K13" s="89">
        <v>219000</v>
      </c>
      <c r="L13" s="89"/>
      <c r="M13" s="89">
        <v>6734650377</v>
      </c>
      <c r="N13" s="89"/>
      <c r="O13" s="89">
        <v>5243782217</v>
      </c>
      <c r="P13" s="89"/>
      <c r="Q13" s="89">
        <f t="shared" si="1"/>
        <v>1490868160</v>
      </c>
      <c r="R13" s="32"/>
    </row>
    <row r="14" spans="1:18" ht="18.75">
      <c r="A14" s="6" t="s">
        <v>19</v>
      </c>
      <c r="C14" s="89">
        <v>0</v>
      </c>
      <c r="D14" s="89"/>
      <c r="E14" s="89">
        <v>0</v>
      </c>
      <c r="F14" s="89"/>
      <c r="G14" s="89">
        <v>0</v>
      </c>
      <c r="H14" s="89"/>
      <c r="I14" s="89">
        <f t="shared" si="0"/>
        <v>0</v>
      </c>
      <c r="J14" s="89"/>
      <c r="K14" s="89">
        <v>374800000</v>
      </c>
      <c r="L14" s="89"/>
      <c r="M14" s="89">
        <v>206162856210</v>
      </c>
      <c r="N14" s="89"/>
      <c r="O14" s="89">
        <v>183229640185</v>
      </c>
      <c r="P14" s="89"/>
      <c r="Q14" s="89">
        <f t="shared" si="1"/>
        <v>22933216025</v>
      </c>
      <c r="R14" s="32"/>
    </row>
    <row r="15" spans="1:18" ht="18.75">
      <c r="A15" s="6" t="s">
        <v>16</v>
      </c>
      <c r="C15" s="89">
        <v>0</v>
      </c>
      <c r="D15" s="89"/>
      <c r="E15" s="89">
        <v>0</v>
      </c>
      <c r="F15" s="89"/>
      <c r="G15" s="89">
        <v>0</v>
      </c>
      <c r="H15" s="89"/>
      <c r="I15" s="89">
        <f t="shared" si="0"/>
        <v>0</v>
      </c>
      <c r="J15" s="89"/>
      <c r="K15" s="89">
        <v>1000</v>
      </c>
      <c r="L15" s="89"/>
      <c r="M15" s="89">
        <v>119568535</v>
      </c>
      <c r="N15" s="89"/>
      <c r="O15" s="89">
        <v>104050701</v>
      </c>
      <c r="P15" s="89"/>
      <c r="Q15" s="89">
        <f t="shared" si="1"/>
        <v>15517834</v>
      </c>
      <c r="R15" s="32"/>
    </row>
    <row r="16" spans="1:18" ht="18.75">
      <c r="A16" s="6" t="s">
        <v>25</v>
      </c>
      <c r="C16" s="89">
        <v>0</v>
      </c>
      <c r="D16" s="89"/>
      <c r="E16" s="89">
        <v>0</v>
      </c>
      <c r="F16" s="89"/>
      <c r="G16" s="89">
        <v>0</v>
      </c>
      <c r="H16" s="89"/>
      <c r="I16" s="89">
        <f t="shared" si="0"/>
        <v>0</v>
      </c>
      <c r="J16" s="89"/>
      <c r="K16" s="89">
        <v>562500</v>
      </c>
      <c r="L16" s="89"/>
      <c r="M16" s="89">
        <v>5007134845</v>
      </c>
      <c r="N16" s="89"/>
      <c r="O16" s="89">
        <v>3613539375</v>
      </c>
      <c r="P16" s="89"/>
      <c r="Q16" s="89">
        <f t="shared" si="1"/>
        <v>1393595470</v>
      </c>
      <c r="R16" s="32"/>
    </row>
    <row r="17" spans="1:18" ht="18.75">
      <c r="A17" s="6" t="s">
        <v>15</v>
      </c>
      <c r="C17" s="89">
        <v>0</v>
      </c>
      <c r="D17" s="89"/>
      <c r="E17" s="89">
        <v>0</v>
      </c>
      <c r="F17" s="89"/>
      <c r="G17" s="89">
        <v>0</v>
      </c>
      <c r="H17" s="89"/>
      <c r="I17" s="89">
        <f t="shared" si="0"/>
        <v>0</v>
      </c>
      <c r="J17" s="89"/>
      <c r="K17" s="89">
        <v>5087404</v>
      </c>
      <c r="L17" s="89"/>
      <c r="M17" s="89">
        <v>46240398030</v>
      </c>
      <c r="N17" s="89"/>
      <c r="O17" s="89">
        <v>23597610096</v>
      </c>
      <c r="P17" s="89"/>
      <c r="Q17" s="89">
        <f t="shared" si="1"/>
        <v>22642787934</v>
      </c>
      <c r="R17" s="32"/>
    </row>
    <row r="18" spans="1:18" ht="18.75">
      <c r="A18" s="6" t="s">
        <v>18</v>
      </c>
      <c r="C18" s="89">
        <v>0</v>
      </c>
      <c r="D18" s="89"/>
      <c r="E18" s="89">
        <v>0</v>
      </c>
      <c r="F18" s="89"/>
      <c r="G18" s="89">
        <v>0</v>
      </c>
      <c r="H18" s="89"/>
      <c r="I18" s="89">
        <f t="shared" si="0"/>
        <v>0</v>
      </c>
      <c r="J18" s="89"/>
      <c r="K18" s="89">
        <v>179488842</v>
      </c>
      <c r="L18" s="89"/>
      <c r="M18" s="89">
        <v>79598072383</v>
      </c>
      <c r="N18" s="89"/>
      <c r="O18" s="89">
        <v>49248307159</v>
      </c>
      <c r="P18" s="89"/>
      <c r="Q18" s="89">
        <f t="shared" si="1"/>
        <v>30349765224</v>
      </c>
      <c r="R18" s="32"/>
    </row>
    <row r="19" spans="1:18" ht="18.75">
      <c r="A19" s="6" t="s">
        <v>23</v>
      </c>
      <c r="C19" s="89">
        <v>0</v>
      </c>
      <c r="D19" s="89"/>
      <c r="E19" s="89">
        <v>0</v>
      </c>
      <c r="F19" s="89"/>
      <c r="G19" s="89">
        <v>0</v>
      </c>
      <c r="H19" s="89"/>
      <c r="I19" s="89">
        <f t="shared" si="0"/>
        <v>0</v>
      </c>
      <c r="J19" s="89"/>
      <c r="K19" s="89">
        <v>2119000</v>
      </c>
      <c r="L19" s="89"/>
      <c r="M19" s="89">
        <v>1436089595</v>
      </c>
      <c r="N19" s="89"/>
      <c r="O19" s="89">
        <v>743653221</v>
      </c>
      <c r="P19" s="89"/>
      <c r="Q19" s="89">
        <f t="shared" si="1"/>
        <v>692436374</v>
      </c>
      <c r="R19" s="32"/>
    </row>
    <row r="20" spans="1:18" ht="18.75">
      <c r="A20" s="6" t="s">
        <v>127</v>
      </c>
      <c r="C20" s="89">
        <v>0</v>
      </c>
      <c r="D20" s="89"/>
      <c r="E20" s="89">
        <v>0</v>
      </c>
      <c r="F20" s="89"/>
      <c r="G20" s="89">
        <v>0</v>
      </c>
      <c r="H20" s="89"/>
      <c r="I20" s="89">
        <f t="shared" si="0"/>
        <v>0</v>
      </c>
      <c r="J20" s="89"/>
      <c r="K20" s="89">
        <v>12451749</v>
      </c>
      <c r="L20" s="89"/>
      <c r="M20" s="89">
        <v>30738861426</v>
      </c>
      <c r="N20" s="89"/>
      <c r="O20" s="89">
        <v>20962570716</v>
      </c>
      <c r="P20" s="89"/>
      <c r="Q20" s="89">
        <f t="shared" si="1"/>
        <v>9776290710</v>
      </c>
      <c r="R20" s="32"/>
    </row>
    <row r="21" spans="1:18" ht="18.75">
      <c r="A21" s="6" t="s">
        <v>144</v>
      </c>
      <c r="C21" s="89">
        <v>0</v>
      </c>
      <c r="D21" s="89"/>
      <c r="E21" s="89">
        <v>0</v>
      </c>
      <c r="F21" s="89"/>
      <c r="G21" s="89">
        <v>0</v>
      </c>
      <c r="H21" s="89"/>
      <c r="I21" s="89">
        <f t="shared" si="0"/>
        <v>0</v>
      </c>
      <c r="J21" s="89"/>
      <c r="K21" s="89">
        <v>1946439</v>
      </c>
      <c r="L21" s="89"/>
      <c r="M21" s="89">
        <v>25629585612</v>
      </c>
      <c r="N21" s="89"/>
      <c r="O21" s="89">
        <v>17457135130</v>
      </c>
      <c r="P21" s="89"/>
      <c r="Q21" s="89">
        <f t="shared" si="1"/>
        <v>8172450482</v>
      </c>
      <c r="R21" s="32"/>
    </row>
    <row r="22" spans="1:18" ht="18.75">
      <c r="A22" s="6" t="s">
        <v>154</v>
      </c>
      <c r="C22" s="89">
        <v>0</v>
      </c>
      <c r="D22" s="89"/>
      <c r="E22" s="89">
        <v>0</v>
      </c>
      <c r="F22" s="89"/>
      <c r="G22" s="89">
        <v>0</v>
      </c>
      <c r="H22" s="89"/>
      <c r="I22" s="89">
        <f t="shared" si="0"/>
        <v>0</v>
      </c>
      <c r="J22" s="89"/>
      <c r="K22" s="89">
        <v>1000000</v>
      </c>
      <c r="L22" s="89"/>
      <c r="M22" s="89">
        <v>11867549281</v>
      </c>
      <c r="N22" s="89"/>
      <c r="O22" s="89">
        <v>9124036723</v>
      </c>
      <c r="P22" s="89"/>
      <c r="Q22" s="89">
        <f t="shared" si="1"/>
        <v>2743512558</v>
      </c>
      <c r="R22" s="32"/>
    </row>
    <row r="23" spans="1:18" ht="18.75">
      <c r="A23" s="6" t="s">
        <v>20</v>
      </c>
      <c r="C23" s="89">
        <v>0</v>
      </c>
      <c r="D23" s="89"/>
      <c r="E23" s="89">
        <v>0</v>
      </c>
      <c r="F23" s="89"/>
      <c r="G23" s="89">
        <v>0</v>
      </c>
      <c r="H23" s="89"/>
      <c r="I23" s="89">
        <f t="shared" si="0"/>
        <v>0</v>
      </c>
      <c r="J23" s="89"/>
      <c r="K23" s="89">
        <v>3250000</v>
      </c>
      <c r="L23" s="89"/>
      <c r="M23" s="89">
        <v>4123530001</v>
      </c>
      <c r="N23" s="89"/>
      <c r="O23" s="89">
        <v>2754171090</v>
      </c>
      <c r="P23" s="89"/>
      <c r="Q23" s="89">
        <f t="shared" si="1"/>
        <v>1369358911</v>
      </c>
      <c r="R23" s="32"/>
    </row>
    <row r="24" spans="1:18" ht="18.75">
      <c r="A24" s="6" t="s">
        <v>12</v>
      </c>
      <c r="C24" s="89">
        <v>0</v>
      </c>
      <c r="D24" s="89"/>
      <c r="E24" s="89">
        <v>0</v>
      </c>
      <c r="F24" s="89"/>
      <c r="G24" s="89">
        <v>0</v>
      </c>
      <c r="H24" s="89"/>
      <c r="I24" s="89">
        <f t="shared" si="0"/>
        <v>0</v>
      </c>
      <c r="J24" s="89"/>
      <c r="K24" s="89">
        <v>318917361</v>
      </c>
      <c r="L24" s="89"/>
      <c r="M24" s="89">
        <v>205468936337</v>
      </c>
      <c r="N24" s="89"/>
      <c r="O24" s="89">
        <v>108524699021</v>
      </c>
      <c r="P24" s="89"/>
      <c r="Q24" s="89">
        <f t="shared" si="1"/>
        <v>96944237316</v>
      </c>
      <c r="R24" s="32"/>
    </row>
    <row r="25" spans="1:18" ht="18.75">
      <c r="A25" s="6" t="s">
        <v>129</v>
      </c>
      <c r="C25" s="89">
        <v>0</v>
      </c>
      <c r="D25" s="89"/>
      <c r="E25" s="89">
        <v>0</v>
      </c>
      <c r="F25" s="89"/>
      <c r="G25" s="89">
        <v>0</v>
      </c>
      <c r="H25" s="89"/>
      <c r="I25" s="89">
        <f t="shared" si="0"/>
        <v>0</v>
      </c>
      <c r="J25" s="89"/>
      <c r="K25" s="89">
        <v>400001</v>
      </c>
      <c r="L25" s="89"/>
      <c r="M25" s="89">
        <v>3167325849</v>
      </c>
      <c r="N25" s="89"/>
      <c r="O25" s="89">
        <v>1550945704</v>
      </c>
      <c r="P25" s="89"/>
      <c r="Q25" s="89">
        <f t="shared" si="1"/>
        <v>1616380145</v>
      </c>
      <c r="R25" s="32"/>
    </row>
    <row r="26" spans="1:18" ht="18.75">
      <c r="A26" s="6" t="s">
        <v>14</v>
      </c>
      <c r="C26" s="89">
        <v>0</v>
      </c>
      <c r="D26" s="89"/>
      <c r="E26" s="89">
        <v>0</v>
      </c>
      <c r="F26" s="89"/>
      <c r="G26" s="89">
        <v>0</v>
      </c>
      <c r="H26" s="89"/>
      <c r="I26" s="89">
        <f t="shared" si="0"/>
        <v>0</v>
      </c>
      <c r="J26" s="89"/>
      <c r="K26" s="89">
        <v>21616303</v>
      </c>
      <c r="L26" s="89"/>
      <c r="M26" s="89">
        <v>24723643221</v>
      </c>
      <c r="N26" s="89"/>
      <c r="O26" s="89">
        <v>19862408357</v>
      </c>
      <c r="P26" s="89"/>
      <c r="Q26" s="89">
        <f t="shared" si="1"/>
        <v>4861234864</v>
      </c>
      <c r="R26" s="32"/>
    </row>
    <row r="27" spans="1:18" ht="18.75">
      <c r="A27" s="6" t="s">
        <v>11</v>
      </c>
      <c r="C27" s="89">
        <v>0</v>
      </c>
      <c r="D27" s="89"/>
      <c r="E27" s="89">
        <v>0</v>
      </c>
      <c r="F27" s="89"/>
      <c r="G27" s="89">
        <v>0</v>
      </c>
      <c r="H27" s="89"/>
      <c r="I27" s="89">
        <f t="shared" si="0"/>
        <v>0</v>
      </c>
      <c r="J27" s="89"/>
      <c r="K27" s="89">
        <v>358779942</v>
      </c>
      <c r="L27" s="89"/>
      <c r="M27" s="89">
        <v>199101323958</v>
      </c>
      <c r="N27" s="89"/>
      <c r="O27" s="89">
        <v>174083814546</v>
      </c>
      <c r="P27" s="89"/>
      <c r="Q27" s="89">
        <f t="shared" si="1"/>
        <v>25017509412</v>
      </c>
      <c r="R27" s="32"/>
    </row>
    <row r="28" spans="1:18" ht="18.75">
      <c r="A28" s="6" t="s">
        <v>128</v>
      </c>
      <c r="C28" s="89">
        <v>0</v>
      </c>
      <c r="D28" s="89"/>
      <c r="E28" s="89">
        <v>0</v>
      </c>
      <c r="F28" s="89"/>
      <c r="G28" s="89">
        <v>0</v>
      </c>
      <c r="H28" s="89"/>
      <c r="I28" s="89">
        <f t="shared" si="0"/>
        <v>0</v>
      </c>
      <c r="J28" s="89"/>
      <c r="K28" s="89">
        <v>16470588</v>
      </c>
      <c r="L28" s="89"/>
      <c r="M28" s="89">
        <v>32697468912</v>
      </c>
      <c r="N28" s="89"/>
      <c r="O28" s="89">
        <v>18801533427</v>
      </c>
      <c r="P28" s="89"/>
      <c r="Q28" s="89">
        <f t="shared" si="1"/>
        <v>13895935485</v>
      </c>
      <c r="R28" s="32"/>
    </row>
    <row r="29" spans="1:18" ht="18.75">
      <c r="A29" s="6" t="s">
        <v>21</v>
      </c>
      <c r="C29" s="89">
        <v>0</v>
      </c>
      <c r="D29" s="89"/>
      <c r="E29" s="89">
        <v>0</v>
      </c>
      <c r="F29" s="89"/>
      <c r="G29" s="89">
        <v>0</v>
      </c>
      <c r="H29" s="89"/>
      <c r="I29" s="89">
        <f t="shared" si="0"/>
        <v>0</v>
      </c>
      <c r="J29" s="89"/>
      <c r="K29" s="89">
        <v>4262936</v>
      </c>
      <c r="L29" s="89"/>
      <c r="M29" s="89">
        <v>9091055310</v>
      </c>
      <c r="N29" s="89"/>
      <c r="O29" s="89">
        <v>5170128363</v>
      </c>
      <c r="P29" s="89"/>
      <c r="Q29" s="89">
        <f t="shared" si="1"/>
        <v>3920926947</v>
      </c>
      <c r="R29" s="32"/>
    </row>
    <row r="30" spans="1:18" ht="18.75">
      <c r="A30" s="6" t="s">
        <v>148</v>
      </c>
      <c r="C30" s="89">
        <v>0</v>
      </c>
      <c r="D30" s="89"/>
      <c r="E30" s="89">
        <v>0</v>
      </c>
      <c r="F30" s="89"/>
      <c r="G30" s="89">
        <v>0</v>
      </c>
      <c r="H30" s="89"/>
      <c r="I30" s="89">
        <f t="shared" si="0"/>
        <v>0</v>
      </c>
      <c r="J30" s="89"/>
      <c r="K30" s="89">
        <v>1514747</v>
      </c>
      <c r="L30" s="89"/>
      <c r="M30" s="89">
        <v>23883485060</v>
      </c>
      <c r="N30" s="89"/>
      <c r="O30" s="89">
        <v>16001662021</v>
      </c>
      <c r="P30" s="89"/>
      <c r="Q30" s="89">
        <f t="shared" si="1"/>
        <v>7881823039</v>
      </c>
      <c r="R30" s="32"/>
    </row>
    <row r="31" spans="1:18" ht="18.75">
      <c r="A31" s="6" t="s">
        <v>141</v>
      </c>
      <c r="C31" s="89">
        <v>0</v>
      </c>
      <c r="D31" s="89"/>
      <c r="E31" s="89">
        <v>0</v>
      </c>
      <c r="F31" s="89"/>
      <c r="G31" s="89">
        <v>0</v>
      </c>
      <c r="H31" s="89"/>
      <c r="I31" s="89">
        <f t="shared" si="0"/>
        <v>0</v>
      </c>
      <c r="J31" s="89"/>
      <c r="K31" s="89">
        <v>750000</v>
      </c>
      <c r="L31" s="89"/>
      <c r="M31" s="89">
        <v>10970490980</v>
      </c>
      <c r="N31" s="89"/>
      <c r="O31" s="89">
        <v>5320424590</v>
      </c>
      <c r="P31" s="89"/>
      <c r="Q31" s="89">
        <f t="shared" si="1"/>
        <v>5650066390</v>
      </c>
      <c r="R31" s="32"/>
    </row>
    <row r="32" spans="1:18" ht="18.75">
      <c r="A32" s="6" t="s">
        <v>147</v>
      </c>
      <c r="C32" s="89">
        <v>0</v>
      </c>
      <c r="D32" s="89"/>
      <c r="E32" s="89">
        <v>0</v>
      </c>
      <c r="F32" s="89"/>
      <c r="G32" s="89">
        <v>0</v>
      </c>
      <c r="H32" s="89"/>
      <c r="I32" s="89">
        <f t="shared" si="0"/>
        <v>0</v>
      </c>
      <c r="J32" s="89"/>
      <c r="K32" s="89">
        <v>1366065</v>
      </c>
      <c r="L32" s="89"/>
      <c r="M32" s="89">
        <v>2300453460</v>
      </c>
      <c r="N32" s="89"/>
      <c r="O32" s="89">
        <v>1306707126</v>
      </c>
      <c r="P32" s="89"/>
      <c r="Q32" s="89">
        <f t="shared" si="1"/>
        <v>993746334</v>
      </c>
      <c r="R32" s="32"/>
    </row>
    <row r="33" spans="1:19" ht="18.75">
      <c r="A33" s="6" t="s">
        <v>74</v>
      </c>
      <c r="C33" s="89">
        <v>202800</v>
      </c>
      <c r="D33" s="89"/>
      <c r="E33" s="89">
        <v>202689727502</v>
      </c>
      <c r="F33" s="89"/>
      <c r="G33" s="89">
        <v>202798244854</v>
      </c>
      <c r="H33" s="89"/>
      <c r="I33" s="89">
        <f t="shared" si="0"/>
        <v>-108517352</v>
      </c>
      <c r="J33" s="89"/>
      <c r="K33" s="89">
        <v>346400</v>
      </c>
      <c r="L33" s="89"/>
      <c r="M33" s="89">
        <v>346211645002</v>
      </c>
      <c r="N33" s="89"/>
      <c r="O33" s="89">
        <v>346395184548</v>
      </c>
      <c r="P33" s="89"/>
      <c r="Q33" s="89">
        <f t="shared" si="1"/>
        <v>-183539546</v>
      </c>
      <c r="R33" s="32"/>
    </row>
    <row r="34" spans="1:19" ht="18.75">
      <c r="A34" s="6" t="s">
        <v>72</v>
      </c>
      <c r="C34" s="89">
        <v>0</v>
      </c>
      <c r="D34" s="89"/>
      <c r="E34" s="89">
        <v>0</v>
      </c>
      <c r="F34" s="89"/>
      <c r="G34" s="89">
        <v>0</v>
      </c>
      <c r="H34" s="89"/>
      <c r="I34" s="89">
        <f t="shared" si="0"/>
        <v>0</v>
      </c>
      <c r="J34" s="89"/>
      <c r="K34" s="89">
        <v>110000</v>
      </c>
      <c r="L34" s="89"/>
      <c r="M34" s="89">
        <v>109940187500</v>
      </c>
      <c r="N34" s="89"/>
      <c r="O34" s="89">
        <v>109880375000</v>
      </c>
      <c r="P34" s="89"/>
      <c r="Q34" s="89">
        <f t="shared" si="1"/>
        <v>59812500</v>
      </c>
      <c r="R34" s="32"/>
    </row>
    <row r="35" spans="1:19" ht="19.5" thickBot="1">
      <c r="C35" s="84"/>
      <c r="D35" s="85"/>
      <c r="E35" s="94">
        <f>SUM(E8:E34)</f>
        <v>415643980392</v>
      </c>
      <c r="F35" s="85"/>
      <c r="G35" s="94">
        <f>SUM(G8:G34)</f>
        <v>316976624592</v>
      </c>
      <c r="H35" s="85"/>
      <c r="I35" s="94">
        <f>SUM(I8:I34)</f>
        <v>98667355800</v>
      </c>
      <c r="J35" s="85"/>
      <c r="K35" s="84"/>
      <c r="L35" s="85"/>
      <c r="M35" s="94">
        <f>SUM(M8:M34)</f>
        <v>1598168564774</v>
      </c>
      <c r="N35" s="85"/>
      <c r="O35" s="94">
        <f>SUM(O8:O34)</f>
        <v>1237154759054</v>
      </c>
      <c r="P35" s="85"/>
      <c r="Q35" s="94">
        <f>SUM(Q8:Q34)</f>
        <v>361013805720</v>
      </c>
      <c r="R35" s="33"/>
      <c r="S35" s="102"/>
    </row>
    <row r="36" spans="1:19" ht="13.5" thickTop="1">
      <c r="I36" s="33"/>
      <c r="Q36" s="33"/>
      <c r="R36" s="33"/>
      <c r="S36" s="33"/>
    </row>
    <row r="37" spans="1:19" ht="18.75">
      <c r="G37" s="33"/>
      <c r="I37" s="33"/>
      <c r="M37" s="23"/>
      <c r="Q37" s="32"/>
      <c r="R37" s="33"/>
    </row>
    <row r="38" spans="1:19">
      <c r="G38" s="33"/>
      <c r="I38" s="102"/>
      <c r="M38" s="33"/>
      <c r="Q38" s="32"/>
      <c r="R38" s="33"/>
    </row>
    <row r="39" spans="1:19">
      <c r="G39" s="33"/>
      <c r="I39" s="32"/>
      <c r="Q39" s="33"/>
    </row>
    <row r="40" spans="1:19">
      <c r="G40" s="33"/>
      <c r="I40" s="33"/>
      <c r="Q40" s="33"/>
    </row>
  </sheetData>
  <mergeCells count="7">
    <mergeCell ref="A1:Q1"/>
    <mergeCell ref="A2:Q2"/>
    <mergeCell ref="A3:Q3"/>
    <mergeCell ref="A5:Q5"/>
    <mergeCell ref="A6:A7"/>
    <mergeCell ref="C6:I6"/>
    <mergeCell ref="K6:Q6"/>
  </mergeCells>
  <conditionalFormatting sqref="A8:A34">
    <cfRule type="duplicateValues" dxfId="0" priority="199"/>
  </conditionalFormatting>
  <pageMargins left="0.39370078740157483" right="0.39370078740157483" top="0.39370078740157483" bottom="0.39370078740157483" header="0" footer="0"/>
  <pageSetup scale="65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105A6-96A2-4B80-A786-2856CC729569}">
  <sheetPr>
    <pageSetUpPr fitToPage="1"/>
  </sheetPr>
  <dimension ref="A1:T47"/>
  <sheetViews>
    <sheetView rightToLeft="1" view="pageBreakPreview" topLeftCell="A25" zoomScaleNormal="100" zoomScaleSheetLayoutView="100" workbookViewId="0">
      <selection activeCell="Q47" sqref="Q47"/>
    </sheetView>
  </sheetViews>
  <sheetFormatPr defaultRowHeight="12.75"/>
  <cols>
    <col min="1" max="1" width="28.42578125" style="48" bestFit="1" customWidth="1"/>
    <col min="2" max="2" width="1.28515625" style="48" customWidth="1"/>
    <col min="3" max="3" width="15.85546875" style="48" bestFit="1" customWidth="1"/>
    <col min="4" max="4" width="1.28515625" style="48" customWidth="1"/>
    <col min="5" max="5" width="19.85546875" style="48" bestFit="1" customWidth="1"/>
    <col min="6" max="6" width="1.28515625" style="48" customWidth="1"/>
    <col min="7" max="7" width="20.140625" style="48" bestFit="1" customWidth="1"/>
    <col min="8" max="8" width="1.28515625" style="48" customWidth="1"/>
    <col min="9" max="9" width="27.7109375" style="48" bestFit="1" customWidth="1"/>
    <col min="10" max="10" width="1.28515625" style="48" customWidth="1"/>
    <col min="11" max="11" width="15.85546875" style="48" bestFit="1" customWidth="1"/>
    <col min="12" max="12" width="1.28515625" style="48" customWidth="1"/>
    <col min="13" max="13" width="20.140625" style="48" bestFit="1" customWidth="1"/>
    <col min="14" max="14" width="1.28515625" style="48" customWidth="1"/>
    <col min="15" max="15" width="19.7109375" style="48" bestFit="1" customWidth="1"/>
    <col min="16" max="16" width="1.28515625" style="48" customWidth="1"/>
    <col min="17" max="17" width="27.7109375" style="48" bestFit="1" customWidth="1"/>
    <col min="18" max="18" width="16" style="48" bestFit="1" customWidth="1"/>
    <col min="19" max="19" width="15" style="48" bestFit="1" customWidth="1"/>
    <col min="20" max="20" width="14.42578125" style="48" bestFit="1" customWidth="1"/>
    <col min="21" max="16384" width="9.140625" style="48"/>
  </cols>
  <sheetData>
    <row r="1" spans="1:20" ht="25.5">
      <c r="A1" s="133" t="s">
        <v>131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</row>
    <row r="2" spans="1:20" ht="25.5">
      <c r="A2" s="133" t="s">
        <v>49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</row>
    <row r="3" spans="1:20" ht="25.5">
      <c r="A3" s="134" t="str">
        <f>سهام!A3</f>
        <v>‫برای ماه منتهی به 31 مرداد ماه 1405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</row>
    <row r="5" spans="1:20" ht="24">
      <c r="A5" s="135" t="s">
        <v>104</v>
      </c>
      <c r="B5" s="135"/>
      <c r="C5" s="135"/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5"/>
    </row>
    <row r="6" spans="1:20" ht="21">
      <c r="A6" s="136" t="s">
        <v>52</v>
      </c>
      <c r="C6" s="136" t="s">
        <v>64</v>
      </c>
      <c r="D6" s="136"/>
      <c r="E6" s="136"/>
      <c r="F6" s="136"/>
      <c r="G6" s="136"/>
      <c r="H6" s="136"/>
      <c r="I6" s="136"/>
      <c r="K6" s="136" t="s">
        <v>65</v>
      </c>
      <c r="L6" s="136"/>
      <c r="M6" s="136"/>
      <c r="N6" s="136"/>
      <c r="O6" s="136"/>
      <c r="P6" s="136"/>
      <c r="Q6" s="136"/>
    </row>
    <row r="7" spans="1:20" ht="21">
      <c r="A7" s="136"/>
      <c r="C7" s="70" t="s">
        <v>5</v>
      </c>
      <c r="D7" s="49"/>
      <c r="E7" s="70" t="s">
        <v>7</v>
      </c>
      <c r="F7" s="49"/>
      <c r="G7" s="70" t="s">
        <v>102</v>
      </c>
      <c r="H7" s="49"/>
      <c r="I7" s="70" t="s">
        <v>105</v>
      </c>
      <c r="K7" s="70" t="s">
        <v>5</v>
      </c>
      <c r="L7" s="49"/>
      <c r="M7" s="70" t="s">
        <v>7</v>
      </c>
      <c r="N7" s="49"/>
      <c r="O7" s="70" t="s">
        <v>102</v>
      </c>
      <c r="P7" s="49"/>
      <c r="Q7" s="70" t="s">
        <v>105</v>
      </c>
    </row>
    <row r="8" spans="1:20" ht="18.75">
      <c r="A8" s="77" t="s">
        <v>158</v>
      </c>
      <c r="B8" s="53"/>
      <c r="C8" s="97">
        <v>1400000</v>
      </c>
      <c r="D8" s="98"/>
      <c r="E8" s="97">
        <v>57998181500</v>
      </c>
      <c r="F8" s="98"/>
      <c r="G8" s="97">
        <v>49718680620</v>
      </c>
      <c r="H8" s="98"/>
      <c r="I8" s="99">
        <f>E8-G8</f>
        <v>8279500880</v>
      </c>
      <c r="J8" s="98"/>
      <c r="K8" s="97">
        <v>1400000</v>
      </c>
      <c r="L8" s="98"/>
      <c r="M8" s="97">
        <v>57998181500</v>
      </c>
      <c r="N8" s="98"/>
      <c r="O8" s="97">
        <v>33139117421</v>
      </c>
      <c r="P8" s="98"/>
      <c r="Q8" s="99">
        <f>M8-O8</f>
        <v>24859064079</v>
      </c>
      <c r="R8" s="64"/>
      <c r="S8" s="65"/>
      <c r="T8" s="107"/>
    </row>
    <row r="9" spans="1:20" ht="18.75">
      <c r="A9" s="54" t="s">
        <v>11</v>
      </c>
      <c r="B9" s="53"/>
      <c r="C9" s="99">
        <v>95000000</v>
      </c>
      <c r="D9" s="98"/>
      <c r="E9" s="99">
        <v>60989875550</v>
      </c>
      <c r="F9" s="98"/>
      <c r="G9" s="99">
        <v>47981215850</v>
      </c>
      <c r="H9" s="98"/>
      <c r="I9" s="99">
        <f t="shared" ref="I9:I42" si="0">E9-G9</f>
        <v>13008659700</v>
      </c>
      <c r="J9" s="98"/>
      <c r="K9" s="99">
        <v>95000000</v>
      </c>
      <c r="L9" s="98"/>
      <c r="M9" s="99">
        <v>60989875550</v>
      </c>
      <c r="N9" s="98"/>
      <c r="O9" s="99">
        <v>46522929373</v>
      </c>
      <c r="P9" s="98"/>
      <c r="Q9" s="99">
        <f t="shared" ref="Q9:Q39" si="1">M9-O9</f>
        <v>14466946177</v>
      </c>
      <c r="R9" s="64"/>
      <c r="S9" s="65"/>
      <c r="T9" s="107"/>
    </row>
    <row r="10" spans="1:20" ht="18.75">
      <c r="A10" s="54" t="s">
        <v>155</v>
      </c>
      <c r="B10" s="53"/>
      <c r="C10" s="99">
        <v>4200000</v>
      </c>
      <c r="D10" s="98"/>
      <c r="E10" s="99">
        <v>30923102280</v>
      </c>
      <c r="F10" s="98"/>
      <c r="G10" s="99">
        <v>30923102280</v>
      </c>
      <c r="H10" s="98"/>
      <c r="I10" s="99">
        <f t="shared" si="0"/>
        <v>0</v>
      </c>
      <c r="J10" s="98"/>
      <c r="K10" s="99">
        <v>4200000</v>
      </c>
      <c r="L10" s="98"/>
      <c r="M10" s="99">
        <v>30923102280</v>
      </c>
      <c r="N10" s="98"/>
      <c r="O10" s="99">
        <v>34230948777</v>
      </c>
      <c r="P10" s="98"/>
      <c r="Q10" s="99">
        <f t="shared" si="1"/>
        <v>-3307846497</v>
      </c>
      <c r="R10" s="64"/>
      <c r="S10" s="65"/>
      <c r="T10" s="107"/>
    </row>
    <row r="11" spans="1:20" ht="18.75">
      <c r="A11" s="54" t="s">
        <v>153</v>
      </c>
      <c r="B11" s="53"/>
      <c r="C11" s="99">
        <v>4400000</v>
      </c>
      <c r="D11" s="98"/>
      <c r="E11" s="99">
        <v>84045269000</v>
      </c>
      <c r="F11" s="98"/>
      <c r="G11" s="99">
        <v>74088246412</v>
      </c>
      <c r="H11" s="98"/>
      <c r="I11" s="99">
        <f t="shared" si="0"/>
        <v>9957022588</v>
      </c>
      <c r="J11" s="98"/>
      <c r="K11" s="99">
        <v>4400000</v>
      </c>
      <c r="L11" s="98"/>
      <c r="M11" s="99">
        <v>84045269000</v>
      </c>
      <c r="N11" s="98"/>
      <c r="O11" s="99">
        <v>78475155200</v>
      </c>
      <c r="P11" s="98"/>
      <c r="Q11" s="99">
        <f t="shared" si="1"/>
        <v>5570113800</v>
      </c>
      <c r="R11" s="64"/>
      <c r="S11" s="65"/>
      <c r="T11" s="107"/>
    </row>
    <row r="12" spans="1:20" ht="18.75">
      <c r="A12" s="54" t="s">
        <v>24</v>
      </c>
      <c r="B12" s="53"/>
      <c r="C12" s="99">
        <v>6171428</v>
      </c>
      <c r="D12" s="98"/>
      <c r="E12" s="99">
        <v>117453004484</v>
      </c>
      <c r="F12" s="98"/>
      <c r="G12" s="99">
        <v>91402688662</v>
      </c>
      <c r="H12" s="98"/>
      <c r="I12" s="99">
        <f t="shared" si="0"/>
        <v>26050315822</v>
      </c>
      <c r="J12" s="98"/>
      <c r="K12" s="99">
        <v>6171428</v>
      </c>
      <c r="L12" s="98"/>
      <c r="M12" s="99">
        <v>117453004484</v>
      </c>
      <c r="N12" s="98"/>
      <c r="O12" s="99">
        <v>83805553811</v>
      </c>
      <c r="P12" s="98"/>
      <c r="Q12" s="99">
        <f t="shared" si="1"/>
        <v>33647450673</v>
      </c>
      <c r="R12" s="64"/>
      <c r="S12" s="65"/>
      <c r="T12" s="107"/>
    </row>
    <row r="13" spans="1:20" ht="18.75">
      <c r="A13" s="54" t="s">
        <v>142</v>
      </c>
      <c r="B13" s="53"/>
      <c r="C13" s="99">
        <v>5000000</v>
      </c>
      <c r="D13" s="98"/>
      <c r="E13" s="99">
        <v>84987925500</v>
      </c>
      <c r="F13" s="98"/>
      <c r="G13" s="99">
        <v>61223059000</v>
      </c>
      <c r="H13" s="98"/>
      <c r="I13" s="99">
        <f t="shared" si="0"/>
        <v>23764866500</v>
      </c>
      <c r="J13" s="98"/>
      <c r="K13" s="99">
        <v>5000000</v>
      </c>
      <c r="L13" s="98"/>
      <c r="M13" s="99">
        <v>84987925500</v>
      </c>
      <c r="N13" s="98"/>
      <c r="O13" s="99">
        <v>47118624638</v>
      </c>
      <c r="P13" s="98"/>
      <c r="Q13" s="99">
        <f t="shared" si="1"/>
        <v>37869300862</v>
      </c>
      <c r="R13" s="64"/>
      <c r="S13" s="65"/>
      <c r="T13" s="107"/>
    </row>
    <row r="14" spans="1:20" ht="18.75">
      <c r="A14" s="54" t="s">
        <v>15</v>
      </c>
      <c r="B14" s="53"/>
      <c r="C14" s="99">
        <v>20000000</v>
      </c>
      <c r="D14" s="98"/>
      <c r="E14" s="99">
        <v>227825192000</v>
      </c>
      <c r="F14" s="98"/>
      <c r="G14" s="99">
        <v>181783864000</v>
      </c>
      <c r="H14" s="98"/>
      <c r="I14" s="99">
        <f t="shared" si="0"/>
        <v>46041328000</v>
      </c>
      <c r="J14" s="98"/>
      <c r="K14" s="99">
        <v>20000000</v>
      </c>
      <c r="L14" s="98"/>
      <c r="M14" s="99">
        <v>227825192000</v>
      </c>
      <c r="N14" s="98"/>
      <c r="O14" s="99">
        <v>94184903355</v>
      </c>
      <c r="P14" s="98"/>
      <c r="Q14" s="99">
        <f t="shared" si="1"/>
        <v>133640288645</v>
      </c>
      <c r="R14" s="64"/>
      <c r="S14" s="65"/>
      <c r="T14" s="107"/>
    </row>
    <row r="15" spans="1:20" ht="18.75">
      <c r="A15" s="54" t="s">
        <v>146</v>
      </c>
      <c r="B15" s="53"/>
      <c r="C15" s="99">
        <v>500000</v>
      </c>
      <c r="D15" s="98"/>
      <c r="E15" s="99">
        <v>30601606800</v>
      </c>
      <c r="F15" s="98"/>
      <c r="G15" s="99">
        <v>30864558350</v>
      </c>
      <c r="H15" s="98"/>
      <c r="I15" s="99">
        <f t="shared" si="0"/>
        <v>-262951550</v>
      </c>
      <c r="J15" s="98"/>
      <c r="K15" s="99">
        <v>500000</v>
      </c>
      <c r="L15" s="98"/>
      <c r="M15" s="99">
        <v>30601606800</v>
      </c>
      <c r="N15" s="98"/>
      <c r="O15" s="99">
        <v>24096284680</v>
      </c>
      <c r="P15" s="98"/>
      <c r="Q15" s="99">
        <f t="shared" si="1"/>
        <v>6505322120</v>
      </c>
      <c r="R15" s="64"/>
      <c r="S15" s="65"/>
      <c r="T15" s="107"/>
    </row>
    <row r="16" spans="1:20" ht="18.75">
      <c r="A16" s="54" t="s">
        <v>150</v>
      </c>
      <c r="B16" s="53"/>
      <c r="C16" s="99">
        <v>9282071</v>
      </c>
      <c r="D16" s="98"/>
      <c r="E16" s="99">
        <v>78840344260</v>
      </c>
      <c r="F16" s="98"/>
      <c r="G16" s="99">
        <v>70274746110</v>
      </c>
      <c r="H16" s="98"/>
      <c r="I16" s="99">
        <f t="shared" si="0"/>
        <v>8565598150</v>
      </c>
      <c r="J16" s="98"/>
      <c r="K16" s="99">
        <v>9282071</v>
      </c>
      <c r="L16" s="98"/>
      <c r="M16" s="99">
        <v>78840344260</v>
      </c>
      <c r="N16" s="98"/>
      <c r="O16" s="99">
        <v>68631424515</v>
      </c>
      <c r="P16" s="98"/>
      <c r="Q16" s="99">
        <f t="shared" si="1"/>
        <v>10208919745</v>
      </c>
      <c r="R16" s="64"/>
      <c r="S16" s="65"/>
      <c r="T16" s="107"/>
    </row>
    <row r="17" spans="1:20" ht="18.75">
      <c r="A17" s="54" t="s">
        <v>168</v>
      </c>
      <c r="B17" s="53"/>
      <c r="C17" s="99">
        <v>360000</v>
      </c>
      <c r="D17" s="98"/>
      <c r="E17" s="99">
        <v>29073907908</v>
      </c>
      <c r="F17" s="98"/>
      <c r="G17" s="99">
        <v>29323959948</v>
      </c>
      <c r="H17" s="98"/>
      <c r="I17" s="99">
        <f t="shared" si="0"/>
        <v>-250052040</v>
      </c>
      <c r="J17" s="98"/>
      <c r="K17" s="99">
        <v>360000</v>
      </c>
      <c r="L17" s="98"/>
      <c r="M17" s="99">
        <v>29073907908</v>
      </c>
      <c r="N17" s="98"/>
      <c r="O17" s="99">
        <v>29356170982</v>
      </c>
      <c r="P17" s="98"/>
      <c r="Q17" s="99">
        <f t="shared" si="1"/>
        <v>-282263074</v>
      </c>
      <c r="R17" s="64"/>
      <c r="S17" s="65"/>
      <c r="T17" s="107"/>
    </row>
    <row r="18" spans="1:20" ht="18.75">
      <c r="A18" s="54" t="s">
        <v>170</v>
      </c>
      <c r="B18" s="53"/>
      <c r="C18" s="99">
        <v>2272821</v>
      </c>
      <c r="D18" s="98"/>
      <c r="E18" s="99">
        <v>40414117518</v>
      </c>
      <c r="F18" s="98"/>
      <c r="G18" s="99">
        <v>37595052401</v>
      </c>
      <c r="H18" s="98"/>
      <c r="I18" s="99">
        <f t="shared" si="0"/>
        <v>2819065117</v>
      </c>
      <c r="J18" s="98"/>
      <c r="K18" s="99">
        <v>2272821</v>
      </c>
      <c r="L18" s="98"/>
      <c r="M18" s="99">
        <v>40414117518</v>
      </c>
      <c r="N18" s="98"/>
      <c r="O18" s="99">
        <v>35170870881</v>
      </c>
      <c r="P18" s="98"/>
      <c r="Q18" s="99">
        <f t="shared" si="1"/>
        <v>5243246637</v>
      </c>
      <c r="R18" s="64"/>
      <c r="S18" s="65"/>
      <c r="T18" s="107"/>
    </row>
    <row r="19" spans="1:20" ht="18.75">
      <c r="A19" s="54" t="s">
        <v>127</v>
      </c>
      <c r="B19" s="53"/>
      <c r="C19" s="99">
        <v>1366065</v>
      </c>
      <c r="D19" s="98"/>
      <c r="E19" s="99">
        <v>3377919251</v>
      </c>
      <c r="F19" s="98"/>
      <c r="G19" s="99">
        <v>2833006113</v>
      </c>
      <c r="H19" s="98"/>
      <c r="I19" s="99">
        <f t="shared" si="0"/>
        <v>544913138</v>
      </c>
      <c r="J19" s="98"/>
      <c r="K19" s="99">
        <v>1366065</v>
      </c>
      <c r="L19" s="98"/>
      <c r="M19" s="99">
        <v>3377919251</v>
      </c>
      <c r="N19" s="98"/>
      <c r="O19" s="99">
        <v>3666518460</v>
      </c>
      <c r="P19" s="98"/>
      <c r="Q19" s="99">
        <f t="shared" si="1"/>
        <v>-288599209</v>
      </c>
      <c r="R19" s="64"/>
      <c r="S19" s="65"/>
      <c r="T19" s="107"/>
    </row>
    <row r="20" spans="1:20" ht="18.75">
      <c r="A20" s="54" t="s">
        <v>14</v>
      </c>
      <c r="B20" s="53"/>
      <c r="C20" s="99">
        <v>209462192</v>
      </c>
      <c r="D20" s="98"/>
      <c r="E20" s="99">
        <v>282043017840</v>
      </c>
      <c r="F20" s="98"/>
      <c r="G20" s="99">
        <v>238150811755</v>
      </c>
      <c r="H20" s="98"/>
      <c r="I20" s="99">
        <f t="shared" si="0"/>
        <v>43892206085</v>
      </c>
      <c r="J20" s="98"/>
      <c r="K20" s="99">
        <v>209462192</v>
      </c>
      <c r="L20" s="98"/>
      <c r="M20" s="99">
        <v>282043017840</v>
      </c>
      <c r="N20" s="98"/>
      <c r="O20" s="99">
        <v>205018339812</v>
      </c>
      <c r="P20" s="98"/>
      <c r="Q20" s="99">
        <f t="shared" si="1"/>
        <v>77024678028</v>
      </c>
      <c r="R20" s="64"/>
      <c r="S20" s="65"/>
      <c r="T20" s="107"/>
    </row>
    <row r="21" spans="1:20" ht="18.75">
      <c r="A21" s="54" t="s">
        <v>13</v>
      </c>
      <c r="B21" s="53"/>
      <c r="C21" s="99">
        <v>61257025</v>
      </c>
      <c r="D21" s="98"/>
      <c r="E21" s="99">
        <v>55009074918</v>
      </c>
      <c r="F21" s="98"/>
      <c r="G21" s="99">
        <v>38658311213</v>
      </c>
      <c r="H21" s="98"/>
      <c r="I21" s="99">
        <f t="shared" si="0"/>
        <v>16350763705</v>
      </c>
      <c r="J21" s="98"/>
      <c r="K21" s="99">
        <v>61257025</v>
      </c>
      <c r="L21" s="98"/>
      <c r="M21" s="99">
        <v>55009074918</v>
      </c>
      <c r="N21" s="98"/>
      <c r="O21" s="99">
        <v>39644456966</v>
      </c>
      <c r="P21" s="98"/>
      <c r="Q21" s="99">
        <f t="shared" si="1"/>
        <v>15364617952</v>
      </c>
      <c r="R21" s="64"/>
      <c r="S21" s="65"/>
      <c r="T21" s="107"/>
    </row>
    <row r="22" spans="1:20" ht="18.75">
      <c r="A22" s="54" t="s">
        <v>154</v>
      </c>
      <c r="B22" s="53"/>
      <c r="C22" s="99">
        <v>5000000</v>
      </c>
      <c r="D22" s="98"/>
      <c r="E22" s="99">
        <v>60429243000</v>
      </c>
      <c r="F22" s="98"/>
      <c r="G22" s="99">
        <v>62365348194</v>
      </c>
      <c r="H22" s="98"/>
      <c r="I22" s="99">
        <f t="shared" si="0"/>
        <v>-1936105194</v>
      </c>
      <c r="J22" s="98"/>
      <c r="K22" s="99">
        <v>5000000</v>
      </c>
      <c r="L22" s="98"/>
      <c r="M22" s="99">
        <v>60429243000</v>
      </c>
      <c r="N22" s="98"/>
      <c r="O22" s="99">
        <v>62365348194</v>
      </c>
      <c r="P22" s="98"/>
      <c r="Q22" s="99">
        <f t="shared" si="1"/>
        <v>-1936105194</v>
      </c>
      <c r="R22" s="64"/>
      <c r="S22" s="65"/>
      <c r="T22" s="107"/>
    </row>
    <row r="23" spans="1:20" ht="18.75">
      <c r="A23" s="54" t="s">
        <v>152</v>
      </c>
      <c r="B23" s="53"/>
      <c r="C23" s="99">
        <v>10200000</v>
      </c>
      <c r="D23" s="98"/>
      <c r="E23" s="99">
        <v>63560847120</v>
      </c>
      <c r="F23" s="98"/>
      <c r="G23" s="99">
        <v>46354885320</v>
      </c>
      <c r="H23" s="98"/>
      <c r="I23" s="99">
        <f t="shared" si="0"/>
        <v>17205961800</v>
      </c>
      <c r="J23" s="98"/>
      <c r="K23" s="99">
        <v>10200000</v>
      </c>
      <c r="L23" s="98"/>
      <c r="M23" s="99">
        <v>63560847120</v>
      </c>
      <c r="N23" s="98"/>
      <c r="O23" s="99">
        <v>55507437707</v>
      </c>
      <c r="P23" s="98"/>
      <c r="Q23" s="99">
        <f t="shared" si="1"/>
        <v>8053409413</v>
      </c>
      <c r="R23" s="64"/>
      <c r="S23" s="65"/>
      <c r="T23" s="107"/>
    </row>
    <row r="24" spans="1:20" ht="18.75">
      <c r="A24" s="54" t="s">
        <v>149</v>
      </c>
      <c r="B24" s="53"/>
      <c r="C24" s="99">
        <v>2700000</v>
      </c>
      <c r="D24" s="98"/>
      <c r="E24" s="99">
        <v>41124630150</v>
      </c>
      <c r="F24" s="98"/>
      <c r="G24" s="99">
        <v>39945813390</v>
      </c>
      <c r="H24" s="98"/>
      <c r="I24" s="99">
        <f t="shared" si="0"/>
        <v>1178816760</v>
      </c>
      <c r="J24" s="98"/>
      <c r="K24" s="99">
        <v>2700000</v>
      </c>
      <c r="L24" s="98"/>
      <c r="M24" s="99">
        <v>41124630150</v>
      </c>
      <c r="N24" s="98"/>
      <c r="O24" s="99">
        <v>45854920502</v>
      </c>
      <c r="P24" s="98"/>
      <c r="Q24" s="99">
        <f t="shared" si="1"/>
        <v>-4730290352</v>
      </c>
      <c r="R24" s="64"/>
      <c r="S24" s="65"/>
      <c r="T24" s="107"/>
    </row>
    <row r="25" spans="1:20" ht="18.75">
      <c r="A25" s="54" t="s">
        <v>156</v>
      </c>
      <c r="B25" s="53"/>
      <c r="C25" s="99">
        <v>4000000</v>
      </c>
      <c r="D25" s="98"/>
      <c r="E25" s="99">
        <v>46636690000</v>
      </c>
      <c r="F25" s="98"/>
      <c r="G25" s="99">
        <v>33618107600</v>
      </c>
      <c r="H25" s="98"/>
      <c r="I25" s="99">
        <f t="shared" si="0"/>
        <v>13018582400</v>
      </c>
      <c r="J25" s="98"/>
      <c r="K25" s="99">
        <v>4000000</v>
      </c>
      <c r="L25" s="98"/>
      <c r="M25" s="99">
        <v>46636690000</v>
      </c>
      <c r="N25" s="98"/>
      <c r="O25" s="99">
        <v>39584384851</v>
      </c>
      <c r="P25" s="98"/>
      <c r="Q25" s="99">
        <f t="shared" si="1"/>
        <v>7052305149</v>
      </c>
      <c r="R25" s="64"/>
      <c r="S25" s="65"/>
      <c r="T25" s="107"/>
    </row>
    <row r="26" spans="1:20" ht="18.75">
      <c r="A26" s="54" t="s">
        <v>140</v>
      </c>
      <c r="B26" s="53"/>
      <c r="C26" s="99">
        <v>800000</v>
      </c>
      <c r="D26" s="98"/>
      <c r="E26" s="99">
        <v>26053041120</v>
      </c>
      <c r="F26" s="98"/>
      <c r="G26" s="99">
        <v>20583305738</v>
      </c>
      <c r="H26" s="98"/>
      <c r="I26" s="99">
        <f t="shared" si="0"/>
        <v>5469735382</v>
      </c>
      <c r="J26" s="98"/>
      <c r="K26" s="99">
        <v>800000</v>
      </c>
      <c r="L26" s="98"/>
      <c r="M26" s="99">
        <v>26053041120</v>
      </c>
      <c r="N26" s="98"/>
      <c r="O26" s="99">
        <v>19459686205</v>
      </c>
      <c r="P26" s="98"/>
      <c r="Q26" s="99">
        <f t="shared" si="1"/>
        <v>6593354915</v>
      </c>
      <c r="R26" s="64"/>
      <c r="S26" s="65"/>
      <c r="T26" s="107"/>
    </row>
    <row r="27" spans="1:20" ht="18.75">
      <c r="A27" s="54" t="s">
        <v>129</v>
      </c>
      <c r="B27" s="53"/>
      <c r="C27" s="99">
        <v>40220689</v>
      </c>
      <c r="D27" s="98"/>
      <c r="E27" s="99">
        <v>367968199942</v>
      </c>
      <c r="F27" s="98"/>
      <c r="G27" s="99">
        <v>328856612530</v>
      </c>
      <c r="H27" s="98"/>
      <c r="I27" s="99">
        <f t="shared" si="0"/>
        <v>39111587412</v>
      </c>
      <c r="J27" s="98"/>
      <c r="K27" s="99">
        <v>40220689</v>
      </c>
      <c r="L27" s="98"/>
      <c r="M27" s="99">
        <v>367968199942</v>
      </c>
      <c r="N27" s="98"/>
      <c r="O27" s="99">
        <v>158430894454</v>
      </c>
      <c r="P27" s="98"/>
      <c r="Q27" s="99">
        <f t="shared" si="1"/>
        <v>209537305488</v>
      </c>
      <c r="R27" s="64"/>
      <c r="S27" s="65"/>
      <c r="T27" s="107"/>
    </row>
    <row r="28" spans="1:20" ht="18.75">
      <c r="A28" s="54" t="s">
        <v>143</v>
      </c>
      <c r="B28" s="53"/>
      <c r="C28" s="99">
        <v>8093726</v>
      </c>
      <c r="D28" s="98"/>
      <c r="E28" s="99">
        <v>46018555383</v>
      </c>
      <c r="F28" s="98"/>
      <c r="G28" s="99">
        <v>43689518549</v>
      </c>
      <c r="H28" s="98"/>
      <c r="I28" s="99">
        <f t="shared" si="0"/>
        <v>2329036834</v>
      </c>
      <c r="J28" s="98"/>
      <c r="K28" s="99">
        <v>8093726</v>
      </c>
      <c r="L28" s="98"/>
      <c r="M28" s="99">
        <v>46018555383</v>
      </c>
      <c r="N28" s="98"/>
      <c r="O28" s="99">
        <v>14956988247</v>
      </c>
      <c r="P28" s="98"/>
      <c r="Q28" s="99">
        <f t="shared" si="1"/>
        <v>31061567136</v>
      </c>
      <c r="R28" s="64"/>
      <c r="S28" s="65"/>
      <c r="T28" s="107"/>
    </row>
    <row r="29" spans="1:20" ht="18.75">
      <c r="A29" s="54" t="s">
        <v>21</v>
      </c>
      <c r="B29" s="53"/>
      <c r="C29" s="99">
        <v>114544834</v>
      </c>
      <c r="D29" s="98"/>
      <c r="E29" s="99">
        <v>331203498690</v>
      </c>
      <c r="F29" s="98"/>
      <c r="G29" s="99">
        <v>246186265670</v>
      </c>
      <c r="H29" s="98"/>
      <c r="I29" s="99">
        <f t="shared" si="0"/>
        <v>85017233020</v>
      </c>
      <c r="J29" s="98"/>
      <c r="K29" s="99">
        <v>114544834</v>
      </c>
      <c r="L29" s="98"/>
      <c r="M29" s="99">
        <v>331203498690</v>
      </c>
      <c r="N29" s="98"/>
      <c r="O29" s="99">
        <v>140823999619</v>
      </c>
      <c r="P29" s="98"/>
      <c r="Q29" s="99">
        <f t="shared" si="1"/>
        <v>190379499071</v>
      </c>
      <c r="R29" s="64"/>
      <c r="S29" s="65"/>
      <c r="T29" s="107"/>
    </row>
    <row r="30" spans="1:20" ht="18.75">
      <c r="A30" s="54" t="s">
        <v>17</v>
      </c>
      <c r="B30" s="53"/>
      <c r="C30" s="99">
        <v>12800000</v>
      </c>
      <c r="D30" s="98"/>
      <c r="E30" s="99">
        <v>28120137984</v>
      </c>
      <c r="F30" s="98"/>
      <c r="G30" s="99">
        <v>25376709888</v>
      </c>
      <c r="H30" s="98"/>
      <c r="I30" s="99">
        <f t="shared" si="0"/>
        <v>2743428096</v>
      </c>
      <c r="J30" s="98"/>
      <c r="K30" s="99">
        <v>12800000</v>
      </c>
      <c r="L30" s="98"/>
      <c r="M30" s="99">
        <v>28120137984</v>
      </c>
      <c r="N30" s="98"/>
      <c r="O30" s="99">
        <v>33342324508</v>
      </c>
      <c r="P30" s="98"/>
      <c r="Q30" s="99">
        <f t="shared" si="1"/>
        <v>-5222186524</v>
      </c>
      <c r="R30" s="64"/>
      <c r="S30" s="65"/>
      <c r="T30" s="107"/>
    </row>
    <row r="31" spans="1:20" ht="18.75">
      <c r="A31" s="54" t="s">
        <v>183</v>
      </c>
      <c r="B31" s="53"/>
      <c r="C31" s="99">
        <v>11100000</v>
      </c>
      <c r="D31" s="98"/>
      <c r="E31" s="99">
        <v>52758003630</v>
      </c>
      <c r="F31" s="98"/>
      <c r="G31" s="99">
        <v>49192700647</v>
      </c>
      <c r="H31" s="98"/>
      <c r="I31" s="99">
        <f t="shared" si="0"/>
        <v>3565302983</v>
      </c>
      <c r="J31" s="98"/>
      <c r="K31" s="99">
        <v>11100000</v>
      </c>
      <c r="L31" s="98"/>
      <c r="M31" s="99">
        <v>52758003630</v>
      </c>
      <c r="N31" s="98"/>
      <c r="O31" s="99">
        <v>49192700647</v>
      </c>
      <c r="P31" s="98"/>
      <c r="Q31" s="99">
        <f t="shared" si="1"/>
        <v>3565302983</v>
      </c>
      <c r="R31" s="64"/>
      <c r="S31" s="65"/>
      <c r="T31" s="107"/>
    </row>
    <row r="32" spans="1:20" ht="18.75">
      <c r="A32" s="54" t="s">
        <v>184</v>
      </c>
      <c r="B32" s="53"/>
      <c r="C32" s="99">
        <v>4000000</v>
      </c>
      <c r="D32" s="98"/>
      <c r="E32" s="99">
        <v>50169171200</v>
      </c>
      <c r="F32" s="98"/>
      <c r="G32" s="99">
        <v>54222987212</v>
      </c>
      <c r="H32" s="98"/>
      <c r="I32" s="99">
        <f t="shared" si="0"/>
        <v>-4053816012</v>
      </c>
      <c r="J32" s="98"/>
      <c r="K32" s="99">
        <v>4000000</v>
      </c>
      <c r="L32" s="98"/>
      <c r="M32" s="99">
        <v>50169171200</v>
      </c>
      <c r="N32" s="98"/>
      <c r="O32" s="99">
        <v>54222987212</v>
      </c>
      <c r="P32" s="98"/>
      <c r="Q32" s="99">
        <f t="shared" si="1"/>
        <v>-4053816012</v>
      </c>
      <c r="R32" s="64"/>
      <c r="S32" s="65"/>
      <c r="T32" s="107"/>
    </row>
    <row r="33" spans="1:20" ht="18.75">
      <c r="A33" s="54" t="s">
        <v>169</v>
      </c>
      <c r="B33" s="53"/>
      <c r="C33" s="99">
        <v>2000000</v>
      </c>
      <c r="D33" s="98"/>
      <c r="E33" s="99">
        <v>65053221200</v>
      </c>
      <c r="F33" s="98"/>
      <c r="G33" s="99">
        <v>57353206000</v>
      </c>
      <c r="H33" s="98"/>
      <c r="I33" s="99">
        <f t="shared" si="0"/>
        <v>7700015200</v>
      </c>
      <c r="J33" s="98"/>
      <c r="K33" s="99">
        <v>2000000</v>
      </c>
      <c r="L33" s="98"/>
      <c r="M33" s="99">
        <v>65053221200</v>
      </c>
      <c r="N33" s="98"/>
      <c r="O33" s="99">
        <v>53132684782</v>
      </c>
      <c r="P33" s="98"/>
      <c r="Q33" s="99">
        <f t="shared" si="1"/>
        <v>11920536418</v>
      </c>
      <c r="R33" s="64"/>
      <c r="S33" s="65"/>
      <c r="T33" s="107"/>
    </row>
    <row r="34" spans="1:20" ht="18.75">
      <c r="A34" s="54" t="s">
        <v>185</v>
      </c>
      <c r="B34" s="53"/>
      <c r="C34" s="99">
        <v>2400000</v>
      </c>
      <c r="D34" s="98"/>
      <c r="E34" s="99">
        <v>62370123120</v>
      </c>
      <c r="F34" s="98"/>
      <c r="G34" s="99">
        <v>49029654650</v>
      </c>
      <c r="H34" s="98"/>
      <c r="I34" s="99">
        <f t="shared" si="0"/>
        <v>13340468470</v>
      </c>
      <c r="J34" s="98"/>
      <c r="K34" s="99">
        <v>2400000</v>
      </c>
      <c r="L34" s="98"/>
      <c r="M34" s="99">
        <v>62370123120</v>
      </c>
      <c r="N34" s="98"/>
      <c r="O34" s="99">
        <v>49029654650</v>
      </c>
      <c r="P34" s="98"/>
      <c r="Q34" s="99">
        <f t="shared" si="1"/>
        <v>13340468470</v>
      </c>
      <c r="R34" s="64"/>
      <c r="S34" s="65"/>
      <c r="T34" s="107"/>
    </row>
    <row r="35" spans="1:20" ht="18.75">
      <c r="A35" s="54" t="s">
        <v>22</v>
      </c>
      <c r="B35" s="53"/>
      <c r="C35" s="99">
        <v>5395</v>
      </c>
      <c r="D35" s="98"/>
      <c r="E35" s="99">
        <v>150483799299</v>
      </c>
      <c r="F35" s="98"/>
      <c r="G35" s="99">
        <v>134514906564</v>
      </c>
      <c r="H35" s="98"/>
      <c r="I35" s="99">
        <f t="shared" si="0"/>
        <v>15968892735</v>
      </c>
      <c r="J35" s="98"/>
      <c r="K35" s="99">
        <v>5395</v>
      </c>
      <c r="L35" s="98"/>
      <c r="M35" s="99">
        <v>150483799299</v>
      </c>
      <c r="N35" s="98"/>
      <c r="O35" s="99">
        <v>134486612880</v>
      </c>
      <c r="P35" s="98"/>
      <c r="Q35" s="99">
        <f t="shared" si="1"/>
        <v>15997186419</v>
      </c>
      <c r="R35" s="64"/>
      <c r="S35" s="65"/>
      <c r="T35" s="107"/>
    </row>
    <row r="36" spans="1:20" ht="18.75">
      <c r="A36" s="54" t="s">
        <v>167</v>
      </c>
      <c r="B36" s="53"/>
      <c r="C36" s="99">
        <v>2000000</v>
      </c>
      <c r="D36" s="98"/>
      <c r="E36" s="99">
        <v>52292629000</v>
      </c>
      <c r="F36" s="98"/>
      <c r="G36" s="99">
        <v>41404682282</v>
      </c>
      <c r="H36" s="98"/>
      <c r="I36" s="99">
        <f t="shared" si="0"/>
        <v>10887946718</v>
      </c>
      <c r="J36" s="98"/>
      <c r="K36" s="99">
        <v>2000000</v>
      </c>
      <c r="L36" s="98"/>
      <c r="M36" s="99">
        <v>52292629000</v>
      </c>
      <c r="N36" s="98"/>
      <c r="O36" s="99">
        <v>41566850119</v>
      </c>
      <c r="P36" s="98"/>
      <c r="Q36" s="99">
        <f t="shared" si="1"/>
        <v>10725778881</v>
      </c>
      <c r="R36" s="64"/>
      <c r="S36" s="65"/>
      <c r="T36" s="107"/>
    </row>
    <row r="37" spans="1:20" ht="18.75">
      <c r="A37" s="54" t="s">
        <v>157</v>
      </c>
      <c r="B37" s="53"/>
      <c r="C37" s="99">
        <v>219000</v>
      </c>
      <c r="D37" s="98"/>
      <c r="E37" s="99">
        <v>5975946075</v>
      </c>
      <c r="F37" s="98"/>
      <c r="G37" s="99">
        <v>5917273149</v>
      </c>
      <c r="H37" s="98"/>
      <c r="I37" s="99">
        <f t="shared" si="0"/>
        <v>58672926</v>
      </c>
      <c r="J37" s="98"/>
      <c r="K37" s="99">
        <v>219000</v>
      </c>
      <c r="L37" s="98"/>
      <c r="M37" s="99">
        <v>5975946075</v>
      </c>
      <c r="N37" s="98"/>
      <c r="O37" s="99">
        <v>5296246349</v>
      </c>
      <c r="P37" s="98"/>
      <c r="Q37" s="99">
        <f t="shared" si="1"/>
        <v>679699726</v>
      </c>
      <c r="R37" s="64"/>
      <c r="S37" s="65"/>
      <c r="T37" s="107"/>
    </row>
    <row r="38" spans="1:20" ht="18.75">
      <c r="A38" s="54" t="s">
        <v>73</v>
      </c>
      <c r="B38" s="53"/>
      <c r="C38" s="99">
        <v>237600</v>
      </c>
      <c r="D38" s="98"/>
      <c r="E38" s="99">
        <v>237470805000</v>
      </c>
      <c r="F38" s="98"/>
      <c r="G38" s="99">
        <v>237470805000</v>
      </c>
      <c r="H38" s="98"/>
      <c r="I38" s="99">
        <f t="shared" si="0"/>
        <v>0</v>
      </c>
      <c r="J38" s="98"/>
      <c r="K38" s="99">
        <v>237600</v>
      </c>
      <c r="L38" s="98"/>
      <c r="M38" s="99">
        <v>237470805000</v>
      </c>
      <c r="N38" s="98"/>
      <c r="O38" s="99">
        <v>237721695000</v>
      </c>
      <c r="P38" s="98"/>
      <c r="Q38" s="99">
        <f t="shared" si="1"/>
        <v>-250890000</v>
      </c>
      <c r="R38" s="64"/>
      <c r="S38" s="65"/>
      <c r="T38" s="107"/>
    </row>
    <row r="39" spans="1:20" ht="18.75">
      <c r="A39" s="54" t="s">
        <v>74</v>
      </c>
      <c r="B39" s="53"/>
      <c r="C39" s="99">
        <v>142000</v>
      </c>
      <c r="D39" s="98"/>
      <c r="E39" s="99">
        <v>141922787500</v>
      </c>
      <c r="F39" s="98"/>
      <c r="G39" s="99">
        <v>141867122646</v>
      </c>
      <c r="H39" s="98"/>
      <c r="I39" s="99">
        <f t="shared" si="0"/>
        <v>55664854</v>
      </c>
      <c r="J39" s="98"/>
      <c r="K39" s="99">
        <v>142000</v>
      </c>
      <c r="L39" s="98"/>
      <c r="M39" s="99">
        <v>141922787500</v>
      </c>
      <c r="N39" s="98"/>
      <c r="O39" s="99">
        <v>142076507952</v>
      </c>
      <c r="P39" s="98"/>
      <c r="Q39" s="99">
        <f t="shared" si="1"/>
        <v>-153720452</v>
      </c>
      <c r="R39" s="64"/>
      <c r="S39" s="65"/>
      <c r="T39" s="107"/>
    </row>
    <row r="40" spans="1:20" ht="18.75">
      <c r="A40" s="54" t="s">
        <v>126</v>
      </c>
      <c r="B40" s="53"/>
      <c r="C40" s="99">
        <v>63322195</v>
      </c>
      <c r="D40" s="98"/>
      <c r="E40" s="99">
        <v>148678706007</v>
      </c>
      <c r="F40" s="98"/>
      <c r="G40" s="99">
        <v>181376850597</v>
      </c>
      <c r="H40" s="98"/>
      <c r="I40" s="99">
        <f t="shared" si="0"/>
        <v>-32698144590</v>
      </c>
      <c r="J40" s="98"/>
      <c r="K40" s="99">
        <v>0</v>
      </c>
      <c r="L40" s="98"/>
      <c r="M40" s="99">
        <v>0</v>
      </c>
      <c r="N40" s="98"/>
      <c r="O40" s="99">
        <v>0</v>
      </c>
      <c r="P40" s="98"/>
      <c r="Q40" s="99">
        <v>0</v>
      </c>
      <c r="R40" s="64"/>
      <c r="S40" s="65"/>
    </row>
    <row r="41" spans="1:20" ht="18.75">
      <c r="A41" s="54" t="s">
        <v>151</v>
      </c>
      <c r="B41" s="53"/>
      <c r="C41" s="99">
        <v>100000</v>
      </c>
      <c r="D41" s="98"/>
      <c r="E41" s="99">
        <v>1958618569</v>
      </c>
      <c r="F41" s="98"/>
      <c r="G41" s="99">
        <v>2367282590</v>
      </c>
      <c r="H41" s="98"/>
      <c r="I41" s="99">
        <f t="shared" si="0"/>
        <v>-408664021</v>
      </c>
      <c r="J41" s="98"/>
      <c r="K41" s="99">
        <v>0</v>
      </c>
      <c r="L41" s="98"/>
      <c r="M41" s="99">
        <v>0</v>
      </c>
      <c r="N41" s="98"/>
      <c r="O41" s="99">
        <v>0</v>
      </c>
      <c r="P41" s="98"/>
      <c r="Q41" s="99">
        <v>0</v>
      </c>
      <c r="R41" s="64"/>
      <c r="S41" s="65"/>
    </row>
    <row r="42" spans="1:20" ht="18.75">
      <c r="A42" s="54" t="s">
        <v>130</v>
      </c>
      <c r="B42" s="53"/>
      <c r="C42" s="99">
        <v>13387027</v>
      </c>
      <c r="D42" s="98"/>
      <c r="E42" s="99">
        <v>47226779671</v>
      </c>
      <c r="F42" s="98"/>
      <c r="G42" s="99">
        <v>47544951404</v>
      </c>
      <c r="H42" s="98"/>
      <c r="I42" s="99">
        <f t="shared" si="0"/>
        <v>-318171733</v>
      </c>
      <c r="J42" s="98"/>
      <c r="K42" s="99">
        <v>0</v>
      </c>
      <c r="L42" s="98"/>
      <c r="M42" s="99">
        <v>0</v>
      </c>
      <c r="N42" s="98"/>
      <c r="O42" s="99">
        <v>0</v>
      </c>
      <c r="P42" s="98"/>
      <c r="Q42" s="99">
        <v>0</v>
      </c>
      <c r="R42" s="64"/>
      <c r="S42" s="65"/>
    </row>
    <row r="43" spans="1:20" ht="21.75" thickBot="1">
      <c r="A43" s="66"/>
      <c r="B43" s="53"/>
      <c r="C43" s="99"/>
      <c r="D43" s="98"/>
      <c r="E43" s="100">
        <f>SUM(E8:E42)</f>
        <v>3211057972469</v>
      </c>
      <c r="F43" s="98"/>
      <c r="G43" s="100">
        <f>SUM(G8:G42)</f>
        <v>2834060292334</v>
      </c>
      <c r="H43" s="98"/>
      <c r="I43" s="100">
        <f>SUM(I8:I42)</f>
        <v>376997680135</v>
      </c>
      <c r="J43" s="98"/>
      <c r="K43" s="99"/>
      <c r="L43" s="98"/>
      <c r="M43" s="100">
        <f>SUM(M8:M42)</f>
        <v>3013193868222</v>
      </c>
      <c r="N43" s="98"/>
      <c r="O43" s="100">
        <f>SUM(O8:O42)</f>
        <v>2160113222749</v>
      </c>
      <c r="P43" s="98"/>
      <c r="Q43" s="100">
        <f>SUM(Q8:Q42)</f>
        <v>853080645473</v>
      </c>
      <c r="R43" s="64"/>
    </row>
    <row r="44" spans="1:20" ht="13.5" thickTop="1">
      <c r="I44" s="65"/>
      <c r="R44" s="64"/>
    </row>
    <row r="45" spans="1:20" ht="18.75">
      <c r="I45" s="59"/>
      <c r="Q45" s="64"/>
      <c r="R45" s="64"/>
    </row>
    <row r="46" spans="1:20">
      <c r="I46" s="64"/>
      <c r="Q46" s="64"/>
      <c r="R46" s="65"/>
    </row>
    <row r="47" spans="1:20">
      <c r="I47" s="64"/>
      <c r="Q47" s="107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6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58"/>
  <sheetViews>
    <sheetView rightToLeft="1" view="pageBreakPreview" topLeftCell="A28" zoomScaleNormal="100" zoomScaleSheetLayoutView="100" workbookViewId="0">
      <selection activeCell="E54" sqref="E54"/>
    </sheetView>
  </sheetViews>
  <sheetFormatPr defaultRowHeight="12.75"/>
  <cols>
    <col min="1" max="1" width="26.28515625" style="9" bestFit="1" customWidth="1"/>
    <col min="2" max="2" width="1.28515625" style="9" customWidth="1"/>
    <col min="3" max="3" width="14.42578125" style="9" bestFit="1" customWidth="1"/>
    <col min="4" max="4" width="1.28515625" style="9" customWidth="1"/>
    <col min="5" max="5" width="18.7109375" style="9" bestFit="1" customWidth="1"/>
    <col min="6" max="6" width="1.28515625" style="9" customWidth="1"/>
    <col min="7" max="7" width="18.7109375" style="9" bestFit="1" customWidth="1"/>
    <col min="8" max="8" width="1.28515625" style="9" customWidth="1"/>
    <col min="9" max="9" width="13" style="9" bestFit="1" customWidth="1"/>
    <col min="10" max="10" width="1.28515625" style="9" customWidth="1"/>
    <col min="11" max="11" width="17" style="9" bestFit="1" customWidth="1"/>
    <col min="12" max="12" width="1.28515625" style="9" customWidth="1"/>
    <col min="13" max="13" width="13.7109375" style="9" bestFit="1" customWidth="1"/>
    <col min="14" max="14" width="1.28515625" style="9" customWidth="1"/>
    <col min="15" max="15" width="16.85546875" style="9" bestFit="1" customWidth="1"/>
    <col min="16" max="16" width="1.28515625" style="9" customWidth="1"/>
    <col min="17" max="17" width="14.5703125" style="9" bestFit="1" customWidth="1"/>
    <col min="18" max="18" width="1.28515625" style="9" customWidth="1"/>
    <col min="19" max="19" width="16.42578125" style="9" bestFit="1" customWidth="1"/>
    <col min="20" max="20" width="1.28515625" style="9" customWidth="1"/>
    <col min="21" max="21" width="18.7109375" style="9" bestFit="1" customWidth="1"/>
    <col min="22" max="22" width="1.28515625" style="9" customWidth="1"/>
    <col min="23" max="23" width="19.7109375" style="9" bestFit="1" customWidth="1"/>
    <col min="24" max="24" width="1.28515625" style="9" customWidth="1"/>
    <col min="25" max="25" width="18.28515625" style="9" bestFit="1" customWidth="1"/>
    <col min="26" max="26" width="17.42578125" style="9" bestFit="1" customWidth="1"/>
    <col min="27" max="27" width="18" style="9" bestFit="1" customWidth="1"/>
    <col min="28" max="28" width="13.42578125" style="103" bestFit="1" customWidth="1"/>
    <col min="29" max="16384" width="9.140625" style="9"/>
  </cols>
  <sheetData>
    <row r="1" spans="1:27" ht="29.1" customHeight="1">
      <c r="A1" s="123" t="s">
        <v>118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</row>
    <row r="2" spans="1:27" ht="21.75" customHeight="1">
      <c r="A2" s="123" t="s">
        <v>0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</row>
    <row r="3" spans="1:27" ht="21.75" customHeight="1">
      <c r="A3" s="124" t="str">
        <f>'0'!A18:I18</f>
        <v>‫برای ماه منتهی به 31 مرداد ماه 1405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3"/>
      <c r="W3" s="123"/>
      <c r="X3" s="123"/>
      <c r="Y3" s="123"/>
    </row>
    <row r="4" spans="1:27" ht="14.45" customHeight="1">
      <c r="A4" s="122" t="s">
        <v>106</v>
      </c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  <c r="Y4" s="122"/>
    </row>
    <row r="5" spans="1:27" ht="14.45" customHeight="1">
      <c r="A5" s="122" t="s">
        <v>107</v>
      </c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2"/>
      <c r="X5" s="122"/>
      <c r="Y5" s="122"/>
    </row>
    <row r="6" spans="1:27" ht="14.45" customHeight="1">
      <c r="C6" s="125" t="s">
        <v>166</v>
      </c>
      <c r="D6" s="125"/>
      <c r="E6" s="125"/>
      <c r="F6" s="125"/>
      <c r="G6" s="125"/>
      <c r="I6" s="125" t="s">
        <v>1</v>
      </c>
      <c r="J6" s="125"/>
      <c r="K6" s="125"/>
      <c r="L6" s="125"/>
      <c r="M6" s="125"/>
      <c r="N6" s="125"/>
      <c r="O6" s="125"/>
      <c r="Q6" s="125" t="s">
        <v>186</v>
      </c>
      <c r="R6" s="125"/>
      <c r="S6" s="125"/>
      <c r="T6" s="125"/>
      <c r="U6" s="125"/>
      <c r="V6" s="125"/>
      <c r="W6" s="125"/>
      <c r="X6" s="125"/>
      <c r="Y6" s="125"/>
    </row>
    <row r="7" spans="1:27" ht="14.45" customHeight="1">
      <c r="C7" s="10"/>
      <c r="D7" s="10"/>
      <c r="E7" s="10"/>
      <c r="F7" s="10"/>
      <c r="G7" s="10"/>
      <c r="I7" s="126" t="s">
        <v>2</v>
      </c>
      <c r="J7" s="126"/>
      <c r="K7" s="126"/>
      <c r="L7" s="10"/>
      <c r="M7" s="126" t="s">
        <v>3</v>
      </c>
      <c r="N7" s="126"/>
      <c r="O7" s="126"/>
      <c r="Q7" s="10"/>
      <c r="R7" s="10"/>
      <c r="S7" s="10"/>
      <c r="T7" s="10"/>
      <c r="U7" s="10"/>
      <c r="V7" s="10"/>
      <c r="W7" s="10"/>
      <c r="X7" s="10"/>
      <c r="Y7" s="10"/>
    </row>
    <row r="8" spans="1:27" ht="14.45" customHeight="1">
      <c r="A8" s="13" t="s">
        <v>4</v>
      </c>
      <c r="C8" s="16" t="s">
        <v>5</v>
      </c>
      <c r="E8" s="2" t="s">
        <v>6</v>
      </c>
      <c r="G8" s="2" t="s">
        <v>7</v>
      </c>
      <c r="I8" s="4" t="s">
        <v>5</v>
      </c>
      <c r="J8" s="10"/>
      <c r="K8" s="4" t="s">
        <v>6</v>
      </c>
      <c r="M8" s="4" t="s">
        <v>5</v>
      </c>
      <c r="N8" s="10"/>
      <c r="O8" s="4" t="s">
        <v>8</v>
      </c>
      <c r="Q8" s="2" t="s">
        <v>5</v>
      </c>
      <c r="S8" s="2" t="s">
        <v>9</v>
      </c>
      <c r="U8" s="2" t="s">
        <v>6</v>
      </c>
      <c r="W8" s="2" t="s">
        <v>7</v>
      </c>
      <c r="Y8" s="2" t="s">
        <v>10</v>
      </c>
      <c r="AA8" s="75"/>
    </row>
    <row r="9" spans="1:27" ht="21.75" customHeight="1">
      <c r="A9" s="12" t="s">
        <v>11</v>
      </c>
      <c r="B9" s="12"/>
      <c r="C9" s="84">
        <v>95000000</v>
      </c>
      <c r="D9" s="85"/>
      <c r="E9" s="84">
        <v>47489436570</v>
      </c>
      <c r="F9" s="85"/>
      <c r="G9" s="84">
        <v>47981215850</v>
      </c>
      <c r="H9" s="85"/>
      <c r="I9" s="84">
        <v>0</v>
      </c>
      <c r="J9" s="85"/>
      <c r="K9" s="84">
        <v>0</v>
      </c>
      <c r="L9" s="85"/>
      <c r="M9" s="84">
        <v>0</v>
      </c>
      <c r="N9" s="85"/>
      <c r="O9" s="84">
        <v>0</v>
      </c>
      <c r="P9" s="85"/>
      <c r="Q9" s="84">
        <f>C9+I9+M9</f>
        <v>95000000</v>
      </c>
      <c r="R9" s="85"/>
      <c r="S9" s="84">
        <v>647</v>
      </c>
      <c r="T9" s="85"/>
      <c r="U9" s="84">
        <v>47489436570</v>
      </c>
      <c r="V9" s="85"/>
      <c r="W9" s="84">
        <v>60989875550</v>
      </c>
      <c r="X9" s="80"/>
      <c r="Y9" s="81">
        <f>W9/3097562630324*100</f>
        <v>1.9689634344413742</v>
      </c>
      <c r="Z9" s="21"/>
      <c r="AA9" s="21"/>
    </row>
    <row r="10" spans="1:27" ht="21.75" customHeight="1">
      <c r="A10" s="12" t="s">
        <v>13</v>
      </c>
      <c r="B10" s="12"/>
      <c r="C10" s="84">
        <v>61257025</v>
      </c>
      <c r="D10" s="85"/>
      <c r="E10" s="84">
        <v>41266993380</v>
      </c>
      <c r="F10" s="85"/>
      <c r="G10" s="84">
        <v>38658311213</v>
      </c>
      <c r="H10" s="85"/>
      <c r="I10" s="84">
        <v>0</v>
      </c>
      <c r="J10" s="85"/>
      <c r="K10" s="84">
        <v>0</v>
      </c>
      <c r="L10" s="85"/>
      <c r="M10" s="84">
        <v>0</v>
      </c>
      <c r="N10" s="85"/>
      <c r="O10" s="84">
        <v>0</v>
      </c>
      <c r="P10" s="85"/>
      <c r="Q10" s="84">
        <f t="shared" ref="Q10:Q41" si="0">C10+I10+M10</f>
        <v>61257025</v>
      </c>
      <c r="R10" s="85"/>
      <c r="S10" s="84">
        <v>905</v>
      </c>
      <c r="T10" s="85"/>
      <c r="U10" s="84">
        <v>41266993380</v>
      </c>
      <c r="V10" s="85"/>
      <c r="W10" s="84">
        <v>55009074918</v>
      </c>
      <c r="X10" s="80"/>
      <c r="Y10" s="81">
        <f t="shared" ref="Y10:Y41" si="1">W10/3097562630324*100</f>
        <v>1.7758825722999552</v>
      </c>
      <c r="Z10" s="21"/>
      <c r="AA10" s="21"/>
    </row>
    <row r="11" spans="1:27" ht="21.75" customHeight="1">
      <c r="A11" s="12" t="s">
        <v>14</v>
      </c>
      <c r="B11" s="12"/>
      <c r="C11" s="84">
        <v>182462192</v>
      </c>
      <c r="D11" s="85"/>
      <c r="E11" s="84">
        <v>153923406124</v>
      </c>
      <c r="F11" s="85"/>
      <c r="G11" s="84">
        <v>202415866848</v>
      </c>
      <c r="H11" s="85"/>
      <c r="I11" s="84">
        <v>27000000</v>
      </c>
      <c r="J11" s="85"/>
      <c r="K11" s="84">
        <v>35734944907</v>
      </c>
      <c r="L11" s="85"/>
      <c r="M11" s="84">
        <v>0</v>
      </c>
      <c r="N11" s="85"/>
      <c r="O11" s="84">
        <v>0</v>
      </c>
      <c r="P11" s="85"/>
      <c r="Q11" s="84">
        <f t="shared" si="0"/>
        <v>209462192</v>
      </c>
      <c r="R11" s="85"/>
      <c r="S11" s="84">
        <v>1357</v>
      </c>
      <c r="T11" s="85"/>
      <c r="U11" s="84">
        <v>189658351031</v>
      </c>
      <c r="V11" s="85"/>
      <c r="W11" s="84">
        <v>282043017840</v>
      </c>
      <c r="X11" s="80"/>
      <c r="Y11" s="81">
        <f t="shared" si="1"/>
        <v>9.1053209087332885</v>
      </c>
      <c r="Z11" s="21"/>
      <c r="AA11" s="21"/>
    </row>
    <row r="12" spans="1:27" ht="21.75" customHeight="1">
      <c r="A12" s="12" t="s">
        <v>129</v>
      </c>
      <c r="B12" s="12"/>
      <c r="C12" s="84">
        <v>40220689</v>
      </c>
      <c r="D12" s="85"/>
      <c r="E12" s="84">
        <v>178482569171</v>
      </c>
      <c r="F12" s="85"/>
      <c r="G12" s="84">
        <v>328856612530</v>
      </c>
      <c r="H12" s="85"/>
      <c r="I12" s="84">
        <v>0</v>
      </c>
      <c r="J12" s="85"/>
      <c r="K12" s="84">
        <v>0</v>
      </c>
      <c r="L12" s="85"/>
      <c r="M12" s="84">
        <v>0</v>
      </c>
      <c r="N12" s="85"/>
      <c r="O12" s="84">
        <v>0</v>
      </c>
      <c r="P12" s="85"/>
      <c r="Q12" s="84">
        <f t="shared" si="0"/>
        <v>40220689</v>
      </c>
      <c r="R12" s="85"/>
      <c r="S12" s="84">
        <v>9220</v>
      </c>
      <c r="T12" s="85"/>
      <c r="U12" s="84">
        <v>178482569171</v>
      </c>
      <c r="V12" s="85"/>
      <c r="W12" s="84">
        <v>367968199942</v>
      </c>
      <c r="X12" s="80"/>
      <c r="Y12" s="81">
        <f t="shared" si="1"/>
        <v>11.879281998682659</v>
      </c>
      <c r="Z12" s="21"/>
      <c r="AA12" s="21"/>
    </row>
    <row r="13" spans="1:27" ht="21.75" customHeight="1">
      <c r="A13" s="12" t="s">
        <v>15</v>
      </c>
      <c r="B13" s="12"/>
      <c r="C13" s="84">
        <v>20000000</v>
      </c>
      <c r="D13" s="85"/>
      <c r="E13" s="84">
        <v>101969389611</v>
      </c>
      <c r="F13" s="85"/>
      <c r="G13" s="84">
        <v>181783864000</v>
      </c>
      <c r="H13" s="85"/>
      <c r="I13" s="84">
        <v>0</v>
      </c>
      <c r="J13" s="85"/>
      <c r="K13" s="84">
        <v>0</v>
      </c>
      <c r="L13" s="85"/>
      <c r="M13" s="84">
        <v>0</v>
      </c>
      <c r="N13" s="85"/>
      <c r="O13" s="84">
        <v>0</v>
      </c>
      <c r="P13" s="85"/>
      <c r="Q13" s="84">
        <f t="shared" si="0"/>
        <v>20000000</v>
      </c>
      <c r="R13" s="85"/>
      <c r="S13" s="84">
        <v>11480</v>
      </c>
      <c r="T13" s="85"/>
      <c r="U13" s="84">
        <v>101969389611</v>
      </c>
      <c r="V13" s="85"/>
      <c r="W13" s="84">
        <v>227825192000</v>
      </c>
      <c r="X13" s="80"/>
      <c r="Y13" s="81">
        <f t="shared" si="1"/>
        <v>7.3549825843608492</v>
      </c>
      <c r="Z13" s="21"/>
      <c r="AA13" s="21"/>
    </row>
    <row r="14" spans="1:27" ht="21.75" customHeight="1">
      <c r="A14" s="12" t="s">
        <v>146</v>
      </c>
      <c r="B14" s="12"/>
      <c r="C14" s="84">
        <v>500000</v>
      </c>
      <c r="D14" s="85"/>
      <c r="E14" s="84">
        <v>29700929032</v>
      </c>
      <c r="F14" s="85"/>
      <c r="G14" s="84">
        <v>30864558350</v>
      </c>
      <c r="H14" s="85"/>
      <c r="I14" s="84">
        <v>0</v>
      </c>
      <c r="J14" s="85"/>
      <c r="K14" s="84">
        <v>0</v>
      </c>
      <c r="L14" s="85"/>
      <c r="M14" s="84">
        <v>0</v>
      </c>
      <c r="N14" s="85"/>
      <c r="O14" s="84">
        <v>0</v>
      </c>
      <c r="P14" s="85"/>
      <c r="Q14" s="84">
        <f t="shared" si="0"/>
        <v>500000</v>
      </c>
      <c r="R14" s="85"/>
      <c r="S14" s="84">
        <v>61680</v>
      </c>
      <c r="T14" s="85"/>
      <c r="U14" s="84">
        <v>29700929032</v>
      </c>
      <c r="V14" s="85"/>
      <c r="W14" s="84">
        <v>30601606800</v>
      </c>
      <c r="X14" s="80"/>
      <c r="Y14" s="81">
        <f t="shared" si="1"/>
        <v>0.98792536107007223</v>
      </c>
      <c r="Z14" s="21"/>
      <c r="AA14" s="21"/>
    </row>
    <row r="15" spans="1:27" ht="21.75" customHeight="1">
      <c r="A15" s="12" t="s">
        <v>17</v>
      </c>
      <c r="B15" s="12"/>
      <c r="C15" s="84">
        <v>12800000</v>
      </c>
      <c r="D15" s="85"/>
      <c r="E15" s="84">
        <v>33342324508</v>
      </c>
      <c r="F15" s="85"/>
      <c r="G15" s="84">
        <v>25376709888</v>
      </c>
      <c r="H15" s="85"/>
      <c r="I15" s="84">
        <v>0</v>
      </c>
      <c r="J15" s="85"/>
      <c r="K15" s="84">
        <v>0</v>
      </c>
      <c r="L15" s="85"/>
      <c r="M15" s="84">
        <v>0</v>
      </c>
      <c r="N15" s="85"/>
      <c r="O15" s="84">
        <v>0</v>
      </c>
      <c r="P15" s="85"/>
      <c r="Q15" s="84">
        <f t="shared" si="0"/>
        <v>12800000</v>
      </c>
      <c r="R15" s="85"/>
      <c r="S15" s="84">
        <v>2214</v>
      </c>
      <c r="T15" s="85"/>
      <c r="U15" s="84">
        <v>33342324508</v>
      </c>
      <c r="V15" s="85"/>
      <c r="W15" s="84">
        <v>28120137984</v>
      </c>
      <c r="X15" s="80"/>
      <c r="Y15" s="81">
        <f t="shared" si="1"/>
        <v>0.90781499326968185</v>
      </c>
      <c r="Z15" s="21"/>
      <c r="AA15" s="21"/>
    </row>
    <row r="16" spans="1:27" ht="21.75" customHeight="1">
      <c r="A16" s="12" t="s">
        <v>155</v>
      </c>
      <c r="B16" s="12"/>
      <c r="C16" s="84">
        <v>4200000</v>
      </c>
      <c r="D16" s="85"/>
      <c r="E16" s="84">
        <v>34230948777</v>
      </c>
      <c r="F16" s="85"/>
      <c r="G16" s="84">
        <v>30923102280</v>
      </c>
      <c r="H16" s="85"/>
      <c r="I16" s="84">
        <v>0</v>
      </c>
      <c r="J16" s="85"/>
      <c r="K16" s="84">
        <v>0</v>
      </c>
      <c r="L16" s="85"/>
      <c r="M16" s="84">
        <v>0</v>
      </c>
      <c r="N16" s="85"/>
      <c r="O16" s="84">
        <v>0</v>
      </c>
      <c r="P16" s="85"/>
      <c r="Q16" s="84">
        <f t="shared" si="0"/>
        <v>4200000</v>
      </c>
      <c r="R16" s="85"/>
      <c r="S16" s="84">
        <v>7420</v>
      </c>
      <c r="T16" s="85"/>
      <c r="U16" s="84">
        <v>34230948777</v>
      </c>
      <c r="V16" s="85"/>
      <c r="W16" s="84">
        <v>30923102280</v>
      </c>
      <c r="X16" s="80"/>
      <c r="Y16" s="81">
        <f t="shared" si="1"/>
        <v>0.99830434346263697</v>
      </c>
      <c r="Z16" s="21"/>
      <c r="AA16" s="21"/>
    </row>
    <row r="17" spans="1:27" ht="21.75" customHeight="1">
      <c r="A17" s="12" t="s">
        <v>143</v>
      </c>
      <c r="B17" s="12"/>
      <c r="C17" s="84">
        <v>8093726</v>
      </c>
      <c r="D17" s="85"/>
      <c r="E17" s="84">
        <v>19520718537</v>
      </c>
      <c r="F17" s="85"/>
      <c r="G17" s="84">
        <v>43689518549</v>
      </c>
      <c r="H17" s="85"/>
      <c r="I17" s="84">
        <v>0</v>
      </c>
      <c r="J17" s="85"/>
      <c r="K17" s="84">
        <v>0</v>
      </c>
      <c r="L17" s="85"/>
      <c r="M17" s="84">
        <v>0</v>
      </c>
      <c r="N17" s="85"/>
      <c r="O17" s="84">
        <v>0</v>
      </c>
      <c r="P17" s="85"/>
      <c r="Q17" s="84">
        <f t="shared" si="0"/>
        <v>8093726</v>
      </c>
      <c r="R17" s="85"/>
      <c r="S17" s="84">
        <v>5730</v>
      </c>
      <c r="T17" s="85"/>
      <c r="U17" s="84">
        <v>19520718537</v>
      </c>
      <c r="V17" s="85"/>
      <c r="W17" s="84">
        <v>46018555383</v>
      </c>
      <c r="X17" s="80"/>
      <c r="Y17" s="81">
        <f t="shared" si="1"/>
        <v>1.4856376085020928</v>
      </c>
      <c r="Z17" s="21"/>
      <c r="AA17" s="21"/>
    </row>
    <row r="18" spans="1:27" ht="21.75" customHeight="1">
      <c r="A18" s="12" t="s">
        <v>149</v>
      </c>
      <c r="B18" s="12"/>
      <c r="C18" s="84">
        <v>2700000</v>
      </c>
      <c r="D18" s="85"/>
      <c r="E18" s="84">
        <v>45854920502</v>
      </c>
      <c r="F18" s="85"/>
      <c r="G18" s="84">
        <v>39945813390</v>
      </c>
      <c r="H18" s="85"/>
      <c r="I18" s="84">
        <v>0</v>
      </c>
      <c r="J18" s="85"/>
      <c r="K18" s="84">
        <v>0</v>
      </c>
      <c r="L18" s="85"/>
      <c r="M18" s="84">
        <v>0</v>
      </c>
      <c r="N18" s="85"/>
      <c r="O18" s="84">
        <v>0</v>
      </c>
      <c r="P18" s="85"/>
      <c r="Q18" s="84">
        <f t="shared" si="0"/>
        <v>2700000</v>
      </c>
      <c r="R18" s="85"/>
      <c r="S18" s="84">
        <v>15350</v>
      </c>
      <c r="T18" s="85"/>
      <c r="U18" s="84">
        <v>45854920502</v>
      </c>
      <c r="V18" s="85"/>
      <c r="W18" s="84">
        <v>41124630150</v>
      </c>
      <c r="X18" s="80"/>
      <c r="Y18" s="81">
        <f t="shared" si="1"/>
        <v>1.3276448310489344</v>
      </c>
      <c r="Z18" s="21"/>
      <c r="AA18" s="21"/>
    </row>
    <row r="19" spans="1:27" ht="21.75" customHeight="1">
      <c r="A19" s="12" t="s">
        <v>156</v>
      </c>
      <c r="B19" s="12"/>
      <c r="C19" s="84">
        <v>4000000</v>
      </c>
      <c r="D19" s="85"/>
      <c r="E19" s="84">
        <v>39584384851</v>
      </c>
      <c r="F19" s="85"/>
      <c r="G19" s="84">
        <v>33618107600</v>
      </c>
      <c r="H19" s="85"/>
      <c r="I19" s="84">
        <v>0</v>
      </c>
      <c r="J19" s="85"/>
      <c r="K19" s="84">
        <v>0</v>
      </c>
      <c r="L19" s="85"/>
      <c r="M19" s="84">
        <v>0</v>
      </c>
      <c r="N19" s="85"/>
      <c r="O19" s="84">
        <v>0</v>
      </c>
      <c r="P19" s="85"/>
      <c r="Q19" s="84">
        <f t="shared" si="0"/>
        <v>4000000</v>
      </c>
      <c r="R19" s="85"/>
      <c r="S19" s="84">
        <v>11750</v>
      </c>
      <c r="T19" s="85"/>
      <c r="U19" s="84">
        <v>39584384851</v>
      </c>
      <c r="V19" s="85"/>
      <c r="W19" s="84">
        <v>46636690000</v>
      </c>
      <c r="X19" s="80"/>
      <c r="Y19" s="81">
        <f t="shared" si="1"/>
        <v>1.5055931248473862</v>
      </c>
      <c r="Z19" s="21"/>
      <c r="AA19" s="21"/>
    </row>
    <row r="20" spans="1:27" ht="21.75" customHeight="1">
      <c r="A20" s="12" t="s">
        <v>142</v>
      </c>
      <c r="B20" s="12"/>
      <c r="C20" s="84">
        <v>5000000</v>
      </c>
      <c r="D20" s="85"/>
      <c r="E20" s="84">
        <v>48392974328</v>
      </c>
      <c r="F20" s="85"/>
      <c r="G20" s="84">
        <v>61223059000</v>
      </c>
      <c r="H20" s="85"/>
      <c r="I20" s="84">
        <v>0</v>
      </c>
      <c r="J20" s="85"/>
      <c r="K20" s="84">
        <v>0</v>
      </c>
      <c r="L20" s="85"/>
      <c r="M20" s="84">
        <v>0</v>
      </c>
      <c r="N20" s="85"/>
      <c r="O20" s="84">
        <v>0</v>
      </c>
      <c r="P20" s="85"/>
      <c r="Q20" s="84">
        <f t="shared" si="0"/>
        <v>5000000</v>
      </c>
      <c r="R20" s="85"/>
      <c r="S20" s="84">
        <v>17130</v>
      </c>
      <c r="T20" s="85"/>
      <c r="U20" s="84">
        <v>48392974328</v>
      </c>
      <c r="V20" s="85"/>
      <c r="W20" s="84">
        <v>84987925500</v>
      </c>
      <c r="X20" s="80"/>
      <c r="Y20" s="81">
        <f t="shared" si="1"/>
        <v>2.7437032158123111</v>
      </c>
      <c r="Z20" s="21"/>
      <c r="AA20" s="21"/>
    </row>
    <row r="21" spans="1:27" ht="21.75" customHeight="1">
      <c r="A21" s="12" t="s">
        <v>167</v>
      </c>
      <c r="B21" s="12"/>
      <c r="C21" s="84">
        <v>1600000</v>
      </c>
      <c r="D21" s="85"/>
      <c r="E21" s="84">
        <v>33200789757</v>
      </c>
      <c r="F21" s="85"/>
      <c r="G21" s="84">
        <v>33038621920</v>
      </c>
      <c r="H21" s="85"/>
      <c r="I21" s="84">
        <v>400000</v>
      </c>
      <c r="J21" s="85"/>
      <c r="K21" s="84">
        <v>8366060362</v>
      </c>
      <c r="L21" s="85"/>
      <c r="M21" s="84">
        <v>0</v>
      </c>
      <c r="N21" s="85"/>
      <c r="O21" s="84">
        <v>0</v>
      </c>
      <c r="P21" s="85"/>
      <c r="Q21" s="84">
        <f t="shared" si="0"/>
        <v>2000000</v>
      </c>
      <c r="R21" s="85"/>
      <c r="S21" s="84">
        <v>26350</v>
      </c>
      <c r="T21" s="85"/>
      <c r="U21" s="84">
        <v>41566850119</v>
      </c>
      <c r="V21" s="85"/>
      <c r="W21" s="84">
        <v>52292629000</v>
      </c>
      <c r="X21" s="80"/>
      <c r="Y21" s="81">
        <f t="shared" si="1"/>
        <v>1.6881863336054732</v>
      </c>
      <c r="Z21" s="21"/>
      <c r="AA21" s="21"/>
    </row>
    <row r="22" spans="1:27" ht="21.75" customHeight="1">
      <c r="A22" s="12" t="s">
        <v>150</v>
      </c>
      <c r="B22" s="12"/>
      <c r="C22" s="84">
        <v>9282071</v>
      </c>
      <c r="D22" s="85"/>
      <c r="E22" s="84">
        <v>68631424515</v>
      </c>
      <c r="F22" s="85"/>
      <c r="G22" s="84">
        <v>70274746110</v>
      </c>
      <c r="H22" s="85"/>
      <c r="I22" s="84">
        <v>0</v>
      </c>
      <c r="J22" s="85"/>
      <c r="K22" s="84">
        <v>0</v>
      </c>
      <c r="L22" s="85"/>
      <c r="M22" s="84">
        <v>0</v>
      </c>
      <c r="N22" s="85"/>
      <c r="O22" s="84">
        <v>0</v>
      </c>
      <c r="P22" s="85"/>
      <c r="Q22" s="84">
        <f t="shared" si="0"/>
        <v>9282071</v>
      </c>
      <c r="R22" s="85"/>
      <c r="S22" s="84">
        <v>8560</v>
      </c>
      <c r="T22" s="85"/>
      <c r="U22" s="84">
        <v>68631424515</v>
      </c>
      <c r="V22" s="85"/>
      <c r="W22" s="84">
        <v>78840344260</v>
      </c>
      <c r="X22" s="80"/>
      <c r="Y22" s="81">
        <f t="shared" si="1"/>
        <v>2.5452381006983362</v>
      </c>
      <c r="Z22" s="21"/>
      <c r="AA22" s="21"/>
    </row>
    <row r="23" spans="1:27" ht="21.75" customHeight="1">
      <c r="A23" s="12" t="s">
        <v>21</v>
      </c>
      <c r="B23" s="12"/>
      <c r="C23" s="84">
        <v>114544834</v>
      </c>
      <c r="D23" s="85"/>
      <c r="E23" s="84">
        <v>143004129290</v>
      </c>
      <c r="F23" s="85"/>
      <c r="G23" s="84">
        <v>246186265670</v>
      </c>
      <c r="H23" s="85"/>
      <c r="I23" s="84">
        <v>0</v>
      </c>
      <c r="J23" s="85"/>
      <c r="K23" s="84">
        <v>0</v>
      </c>
      <c r="L23" s="85"/>
      <c r="M23" s="84">
        <v>0</v>
      </c>
      <c r="N23" s="85"/>
      <c r="O23" s="84">
        <v>0</v>
      </c>
      <c r="P23" s="85"/>
      <c r="Q23" s="84">
        <f t="shared" si="0"/>
        <v>114544834</v>
      </c>
      <c r="R23" s="85"/>
      <c r="S23" s="84">
        <v>2914</v>
      </c>
      <c r="T23" s="85"/>
      <c r="U23" s="84">
        <v>143004129290</v>
      </c>
      <c r="V23" s="85"/>
      <c r="W23" s="84">
        <v>331203498690</v>
      </c>
      <c r="X23" s="80"/>
      <c r="Y23" s="81">
        <f t="shared" si="1"/>
        <v>10.692390702536228</v>
      </c>
      <c r="Z23" s="21"/>
      <c r="AA23" s="21"/>
    </row>
    <row r="24" spans="1:27" ht="21.75" customHeight="1">
      <c r="A24" s="12" t="s">
        <v>153</v>
      </c>
      <c r="B24" s="12"/>
      <c r="C24" s="84">
        <v>2000000</v>
      </c>
      <c r="D24" s="85"/>
      <c r="E24" s="84">
        <v>32011705588</v>
      </c>
      <c r="F24" s="85"/>
      <c r="G24" s="84">
        <v>27624796800</v>
      </c>
      <c r="H24" s="85"/>
      <c r="I24" s="84">
        <v>2400000</v>
      </c>
      <c r="J24" s="85"/>
      <c r="K24" s="84">
        <v>46463449612</v>
      </c>
      <c r="L24" s="85"/>
      <c r="M24" s="84">
        <v>0</v>
      </c>
      <c r="N24" s="85"/>
      <c r="O24" s="84">
        <v>0</v>
      </c>
      <c r="P24" s="85"/>
      <c r="Q24" s="84">
        <f t="shared" si="0"/>
        <v>4400000</v>
      </c>
      <c r="R24" s="85"/>
      <c r="S24" s="84">
        <v>19250</v>
      </c>
      <c r="T24" s="85"/>
      <c r="U24" s="84">
        <v>78475155200</v>
      </c>
      <c r="V24" s="85"/>
      <c r="W24" s="84">
        <v>84045269000</v>
      </c>
      <c r="X24" s="80"/>
      <c r="Y24" s="81">
        <f t="shared" si="1"/>
        <v>2.71327101435263</v>
      </c>
      <c r="Z24" s="21"/>
      <c r="AA24" s="21"/>
    </row>
    <row r="25" spans="1:27" ht="21.75" customHeight="1">
      <c r="A25" s="12" t="s">
        <v>168</v>
      </c>
      <c r="B25" s="12"/>
      <c r="C25" s="84">
        <v>360000</v>
      </c>
      <c r="D25" s="85"/>
      <c r="E25" s="84">
        <v>29356170982</v>
      </c>
      <c r="F25" s="85"/>
      <c r="G25" s="84">
        <v>29323959948</v>
      </c>
      <c r="H25" s="85"/>
      <c r="I25" s="84">
        <v>0</v>
      </c>
      <c r="J25" s="85"/>
      <c r="K25" s="84">
        <v>0</v>
      </c>
      <c r="L25" s="85"/>
      <c r="M25" s="84">
        <v>0</v>
      </c>
      <c r="N25" s="85"/>
      <c r="O25" s="84">
        <v>0</v>
      </c>
      <c r="P25" s="85"/>
      <c r="Q25" s="84">
        <f t="shared" si="0"/>
        <v>360000</v>
      </c>
      <c r="R25" s="85"/>
      <c r="S25" s="84">
        <v>81390</v>
      </c>
      <c r="T25" s="85"/>
      <c r="U25" s="84">
        <v>29356170982</v>
      </c>
      <c r="V25" s="85"/>
      <c r="W25" s="84">
        <v>29073907908</v>
      </c>
      <c r="X25" s="80"/>
      <c r="Y25" s="81">
        <f t="shared" si="1"/>
        <v>0.93860597436762461</v>
      </c>
      <c r="Z25" s="21"/>
      <c r="AA25" s="21"/>
    </row>
    <row r="26" spans="1:27" ht="21.75" customHeight="1">
      <c r="A26" s="12" t="s">
        <v>170</v>
      </c>
      <c r="B26" s="12"/>
      <c r="C26" s="84">
        <v>2272821</v>
      </c>
      <c r="D26" s="85"/>
      <c r="E26" s="84">
        <v>35170870881</v>
      </c>
      <c r="F26" s="85"/>
      <c r="G26" s="84">
        <v>37595052401</v>
      </c>
      <c r="H26" s="85"/>
      <c r="I26" s="84">
        <v>0</v>
      </c>
      <c r="J26" s="85"/>
      <c r="K26" s="84">
        <v>0</v>
      </c>
      <c r="L26" s="85"/>
      <c r="M26" s="84">
        <v>0</v>
      </c>
      <c r="N26" s="85"/>
      <c r="O26" s="84">
        <v>0</v>
      </c>
      <c r="P26" s="85"/>
      <c r="Q26" s="84">
        <f t="shared" si="0"/>
        <v>2272821</v>
      </c>
      <c r="R26" s="85"/>
      <c r="S26" s="84">
        <v>17920</v>
      </c>
      <c r="T26" s="85"/>
      <c r="U26" s="84">
        <v>35170870881</v>
      </c>
      <c r="V26" s="85"/>
      <c r="W26" s="84">
        <v>40414117518</v>
      </c>
      <c r="X26" s="80"/>
      <c r="Y26" s="81">
        <f t="shared" si="1"/>
        <v>1.3047070339227573</v>
      </c>
      <c r="Z26" s="21"/>
      <c r="AA26" s="21"/>
    </row>
    <row r="27" spans="1:27" ht="21.75" customHeight="1">
      <c r="A27" s="12" t="s">
        <v>22</v>
      </c>
      <c r="B27" s="12"/>
      <c r="C27" s="84">
        <v>5395</v>
      </c>
      <c r="D27" s="85"/>
      <c r="E27" s="84">
        <v>92159966047</v>
      </c>
      <c r="F27" s="85"/>
      <c r="G27" s="84">
        <v>134514906564</v>
      </c>
      <c r="H27" s="85"/>
      <c r="I27" s="84">
        <v>0</v>
      </c>
      <c r="J27" s="85"/>
      <c r="K27" s="84">
        <v>0</v>
      </c>
      <c r="L27" s="85"/>
      <c r="M27" s="84">
        <v>0</v>
      </c>
      <c r="N27" s="85"/>
      <c r="O27" s="84">
        <v>0</v>
      </c>
      <c r="P27" s="85"/>
      <c r="Q27" s="84">
        <f t="shared" si="0"/>
        <v>5395</v>
      </c>
      <c r="R27" s="85"/>
      <c r="S27" s="84">
        <v>27960302</v>
      </c>
      <c r="T27" s="85"/>
      <c r="U27" s="84">
        <v>92159966047</v>
      </c>
      <c r="V27" s="85"/>
      <c r="W27" s="84">
        <v>150483799299</v>
      </c>
      <c r="X27" s="80"/>
      <c r="Y27" s="81">
        <f t="shared" si="1"/>
        <v>4.8581358073544312</v>
      </c>
      <c r="Z27" s="21"/>
      <c r="AA27" s="21"/>
    </row>
    <row r="28" spans="1:27" ht="21.75" customHeight="1">
      <c r="A28" s="12" t="s">
        <v>140</v>
      </c>
      <c r="B28" s="12"/>
      <c r="C28" s="84">
        <v>1250000</v>
      </c>
      <c r="D28" s="85"/>
      <c r="E28" s="84">
        <v>30682089370</v>
      </c>
      <c r="F28" s="85"/>
      <c r="G28" s="84">
        <v>31529379250</v>
      </c>
      <c r="H28" s="85"/>
      <c r="I28" s="84">
        <v>0</v>
      </c>
      <c r="J28" s="85"/>
      <c r="K28" s="84">
        <v>0</v>
      </c>
      <c r="L28" s="85"/>
      <c r="M28" s="84">
        <v>-450000</v>
      </c>
      <c r="N28" s="85"/>
      <c r="O28" s="84">
        <v>15090148642</v>
      </c>
      <c r="P28" s="85"/>
      <c r="Q28" s="84">
        <f t="shared" si="0"/>
        <v>800000</v>
      </c>
      <c r="R28" s="85"/>
      <c r="S28" s="84">
        <v>32820</v>
      </c>
      <c r="T28" s="85"/>
      <c r="U28" s="84">
        <v>19636537197</v>
      </c>
      <c r="V28" s="85"/>
      <c r="W28" s="84">
        <v>26053041120</v>
      </c>
      <c r="X28" s="80"/>
      <c r="Y28" s="81">
        <f t="shared" si="1"/>
        <v>0.84108198055304206</v>
      </c>
      <c r="Z28" s="21"/>
      <c r="AA28" s="21"/>
    </row>
    <row r="29" spans="1:27" ht="21.75" customHeight="1">
      <c r="A29" s="12" t="s">
        <v>151</v>
      </c>
      <c r="B29" s="12"/>
      <c r="C29" s="84">
        <v>100000</v>
      </c>
      <c r="D29" s="85"/>
      <c r="E29" s="84">
        <v>1546107879</v>
      </c>
      <c r="F29" s="85"/>
      <c r="G29" s="84">
        <v>1954771900</v>
      </c>
      <c r="H29" s="85"/>
      <c r="I29" s="84">
        <v>0</v>
      </c>
      <c r="J29" s="85"/>
      <c r="K29" s="84">
        <v>0</v>
      </c>
      <c r="L29" s="85"/>
      <c r="M29" s="84">
        <v>-100000</v>
      </c>
      <c r="N29" s="85"/>
      <c r="O29" s="84">
        <v>1958618569</v>
      </c>
      <c r="P29" s="85"/>
      <c r="Q29" s="84">
        <f t="shared" si="0"/>
        <v>0</v>
      </c>
      <c r="R29" s="85"/>
      <c r="S29" s="84">
        <v>0</v>
      </c>
      <c r="T29" s="85"/>
      <c r="U29" s="84">
        <v>0</v>
      </c>
      <c r="V29" s="85"/>
      <c r="W29" s="84">
        <v>0</v>
      </c>
      <c r="X29" s="80"/>
      <c r="Y29" s="81">
        <f t="shared" si="1"/>
        <v>0</v>
      </c>
      <c r="Z29" s="21"/>
      <c r="AA29" s="21"/>
    </row>
    <row r="30" spans="1:27" ht="21.75" customHeight="1">
      <c r="A30" s="12" t="s">
        <v>126</v>
      </c>
      <c r="B30" s="12"/>
      <c r="C30" s="84">
        <v>63322195</v>
      </c>
      <c r="D30" s="85"/>
      <c r="E30" s="84">
        <v>195144487588</v>
      </c>
      <c r="F30" s="85"/>
      <c r="G30" s="84">
        <v>98144699943</v>
      </c>
      <c r="H30" s="85"/>
      <c r="I30" s="84">
        <v>0</v>
      </c>
      <c r="J30" s="85"/>
      <c r="K30" s="84">
        <v>0</v>
      </c>
      <c r="L30" s="85"/>
      <c r="M30" s="84">
        <v>-63322195</v>
      </c>
      <c r="N30" s="85"/>
      <c r="O30" s="84">
        <v>148678706007</v>
      </c>
      <c r="P30" s="85"/>
      <c r="Q30" s="84">
        <f t="shared" si="0"/>
        <v>0</v>
      </c>
      <c r="R30" s="85"/>
      <c r="S30" s="84">
        <v>0</v>
      </c>
      <c r="T30" s="85"/>
      <c r="U30" s="84">
        <v>0</v>
      </c>
      <c r="V30" s="85"/>
      <c r="W30" s="84">
        <v>0</v>
      </c>
      <c r="X30" s="80"/>
      <c r="Y30" s="81">
        <f t="shared" si="1"/>
        <v>0</v>
      </c>
      <c r="Z30" s="21"/>
      <c r="AA30" s="21"/>
    </row>
    <row r="31" spans="1:27" ht="21.75" customHeight="1">
      <c r="A31" s="12" t="s">
        <v>130</v>
      </c>
      <c r="B31" s="12"/>
      <c r="C31" s="84">
        <v>13387027</v>
      </c>
      <c r="D31" s="85"/>
      <c r="E31" s="84">
        <v>42732845000</v>
      </c>
      <c r="F31" s="85"/>
      <c r="G31" s="84">
        <v>38216759774</v>
      </c>
      <c r="H31" s="85"/>
      <c r="I31" s="84">
        <v>0</v>
      </c>
      <c r="J31" s="85"/>
      <c r="K31" s="84">
        <v>0</v>
      </c>
      <c r="L31" s="85"/>
      <c r="M31" s="84">
        <v>-13387027</v>
      </c>
      <c r="N31" s="85"/>
      <c r="O31" s="84">
        <v>47226779671</v>
      </c>
      <c r="P31" s="85"/>
      <c r="Q31" s="84">
        <f t="shared" si="0"/>
        <v>0</v>
      </c>
      <c r="R31" s="85"/>
      <c r="S31" s="84">
        <v>0</v>
      </c>
      <c r="T31" s="85"/>
      <c r="U31" s="84">
        <v>0</v>
      </c>
      <c r="V31" s="85"/>
      <c r="W31" s="84">
        <v>0</v>
      </c>
      <c r="X31" s="80"/>
      <c r="Y31" s="81">
        <f t="shared" si="1"/>
        <v>0</v>
      </c>
      <c r="Z31" s="21"/>
      <c r="AA31" s="21"/>
    </row>
    <row r="32" spans="1:27" ht="21.75" customHeight="1">
      <c r="A32" s="12" t="s">
        <v>127</v>
      </c>
      <c r="B32" s="12"/>
      <c r="C32" s="84">
        <v>1366065</v>
      </c>
      <c r="D32" s="85"/>
      <c r="E32" s="84">
        <v>3666518460</v>
      </c>
      <c r="F32" s="85"/>
      <c r="G32" s="84">
        <v>2833006113</v>
      </c>
      <c r="H32" s="85"/>
      <c r="I32" s="84">
        <v>0</v>
      </c>
      <c r="J32" s="85"/>
      <c r="K32" s="84">
        <v>0</v>
      </c>
      <c r="L32" s="85"/>
      <c r="M32" s="84">
        <v>0</v>
      </c>
      <c r="N32" s="85"/>
      <c r="O32" s="84">
        <v>0</v>
      </c>
      <c r="P32" s="85"/>
      <c r="Q32" s="84">
        <f t="shared" si="0"/>
        <v>1366065</v>
      </c>
      <c r="R32" s="85"/>
      <c r="S32" s="84">
        <v>2492</v>
      </c>
      <c r="T32" s="85"/>
      <c r="U32" s="84">
        <v>3666518460</v>
      </c>
      <c r="V32" s="85"/>
      <c r="W32" s="84">
        <v>3377919251</v>
      </c>
      <c r="X32" s="80"/>
      <c r="Y32" s="81">
        <f t="shared" si="1"/>
        <v>0.10905087819472678</v>
      </c>
      <c r="Z32" s="21"/>
      <c r="AA32" s="21"/>
    </row>
    <row r="33" spans="1:27" ht="21.75" customHeight="1">
      <c r="A33" s="12" t="s">
        <v>24</v>
      </c>
      <c r="B33" s="12"/>
      <c r="C33" s="84">
        <v>6171429</v>
      </c>
      <c r="D33" s="85"/>
      <c r="E33" s="84">
        <v>82673051205</v>
      </c>
      <c r="F33" s="85"/>
      <c r="G33" s="84">
        <v>91402702242</v>
      </c>
      <c r="H33" s="85"/>
      <c r="I33" s="84">
        <v>0</v>
      </c>
      <c r="J33" s="85"/>
      <c r="K33" s="84">
        <v>0</v>
      </c>
      <c r="L33" s="85"/>
      <c r="M33" s="84">
        <v>-1</v>
      </c>
      <c r="N33" s="85"/>
      <c r="O33" s="84">
        <v>1</v>
      </c>
      <c r="P33" s="85"/>
      <c r="Q33" s="84">
        <f t="shared" si="0"/>
        <v>6171428</v>
      </c>
      <c r="R33" s="85"/>
      <c r="S33" s="84">
        <v>19180</v>
      </c>
      <c r="T33" s="85"/>
      <c r="U33" s="84">
        <v>82673037809</v>
      </c>
      <c r="V33" s="85"/>
      <c r="W33" s="84">
        <v>117453004484</v>
      </c>
      <c r="X33" s="80"/>
      <c r="Y33" s="81">
        <f t="shared" si="1"/>
        <v>3.7917878829689591</v>
      </c>
      <c r="Z33" s="21"/>
      <c r="AA33" s="21"/>
    </row>
    <row r="34" spans="1:27" ht="21.75" customHeight="1">
      <c r="A34" s="12" t="s">
        <v>169</v>
      </c>
      <c r="B34" s="12"/>
      <c r="C34" s="84">
        <v>2000000</v>
      </c>
      <c r="D34" s="85"/>
      <c r="E34" s="84">
        <v>53132684782</v>
      </c>
      <c r="F34" s="85"/>
      <c r="G34" s="84">
        <v>57353206000</v>
      </c>
      <c r="H34" s="85"/>
      <c r="I34" s="84">
        <v>0</v>
      </c>
      <c r="J34" s="85"/>
      <c r="K34" s="84">
        <v>0</v>
      </c>
      <c r="L34" s="85"/>
      <c r="M34" s="84">
        <v>0</v>
      </c>
      <c r="N34" s="85"/>
      <c r="O34" s="84">
        <v>0</v>
      </c>
      <c r="P34" s="85"/>
      <c r="Q34" s="84">
        <f t="shared" si="0"/>
        <v>2000000</v>
      </c>
      <c r="R34" s="85"/>
      <c r="S34" s="84">
        <v>32780</v>
      </c>
      <c r="T34" s="85"/>
      <c r="U34" s="84">
        <v>53132684782</v>
      </c>
      <c r="V34" s="85"/>
      <c r="W34" s="84">
        <v>65053221200</v>
      </c>
      <c r="X34" s="80"/>
      <c r="Y34" s="81">
        <f t="shared" si="1"/>
        <v>2.100142239680737</v>
      </c>
      <c r="Z34" s="21"/>
      <c r="AA34" s="21"/>
    </row>
    <row r="35" spans="1:27" ht="21.75" customHeight="1">
      <c r="A35" s="12" t="s">
        <v>158</v>
      </c>
      <c r="B35" s="12"/>
      <c r="C35" s="84">
        <v>1400000</v>
      </c>
      <c r="D35" s="85"/>
      <c r="E35" s="84">
        <v>33139117421</v>
      </c>
      <c r="F35" s="85"/>
      <c r="G35" s="84">
        <v>49718680620</v>
      </c>
      <c r="H35" s="85"/>
      <c r="I35" s="84">
        <v>0</v>
      </c>
      <c r="J35" s="85"/>
      <c r="K35" s="84">
        <v>0</v>
      </c>
      <c r="L35" s="85"/>
      <c r="M35" s="84">
        <v>0</v>
      </c>
      <c r="N35" s="85"/>
      <c r="O35" s="84">
        <v>0</v>
      </c>
      <c r="P35" s="85"/>
      <c r="Q35" s="84">
        <f t="shared" si="0"/>
        <v>1400000</v>
      </c>
      <c r="R35" s="85"/>
      <c r="S35" s="84">
        <v>41750</v>
      </c>
      <c r="T35" s="85"/>
      <c r="U35" s="84">
        <v>33139117421</v>
      </c>
      <c r="V35" s="85"/>
      <c r="W35" s="84">
        <v>57998181500</v>
      </c>
      <c r="X35" s="80"/>
      <c r="Y35" s="81">
        <f t="shared" si="1"/>
        <v>1.8723812371772282</v>
      </c>
      <c r="Z35" s="21"/>
      <c r="AA35" s="21"/>
    </row>
    <row r="36" spans="1:27" ht="21.75" customHeight="1">
      <c r="A36" s="12" t="s">
        <v>152</v>
      </c>
      <c r="B36" s="12"/>
      <c r="C36" s="84">
        <v>10200000</v>
      </c>
      <c r="D36" s="85"/>
      <c r="E36" s="84">
        <v>55507437707</v>
      </c>
      <c r="F36" s="85"/>
      <c r="G36" s="84">
        <v>46354885320</v>
      </c>
      <c r="H36" s="85"/>
      <c r="I36" s="84">
        <v>0</v>
      </c>
      <c r="J36" s="85"/>
      <c r="K36" s="84">
        <v>0</v>
      </c>
      <c r="L36" s="85"/>
      <c r="M36" s="84">
        <v>0</v>
      </c>
      <c r="N36" s="85"/>
      <c r="O36" s="84">
        <v>0</v>
      </c>
      <c r="P36" s="85"/>
      <c r="Q36" s="84">
        <f t="shared" si="0"/>
        <v>10200000</v>
      </c>
      <c r="R36" s="85"/>
      <c r="S36" s="84">
        <v>6280</v>
      </c>
      <c r="T36" s="85"/>
      <c r="U36" s="84">
        <v>55507437707</v>
      </c>
      <c r="V36" s="85"/>
      <c r="W36" s="84">
        <v>63560847120</v>
      </c>
      <c r="X36" s="80"/>
      <c r="Y36" s="81">
        <f t="shared" si="1"/>
        <v>2.0519632596856208</v>
      </c>
      <c r="Z36" s="21"/>
      <c r="AA36" s="21"/>
    </row>
    <row r="37" spans="1:27" ht="21.75" customHeight="1">
      <c r="A37" s="12" t="s">
        <v>157</v>
      </c>
      <c r="B37" s="12"/>
      <c r="C37" s="84">
        <v>219000</v>
      </c>
      <c r="D37" s="85"/>
      <c r="E37" s="84">
        <v>5296246349</v>
      </c>
      <c r="F37" s="85"/>
      <c r="G37" s="84">
        <v>5917273149</v>
      </c>
      <c r="H37" s="85"/>
      <c r="I37" s="84">
        <v>0</v>
      </c>
      <c r="J37" s="85"/>
      <c r="K37" s="84">
        <v>0</v>
      </c>
      <c r="L37" s="85"/>
      <c r="M37" s="84">
        <v>0</v>
      </c>
      <c r="N37" s="85"/>
      <c r="O37" s="84">
        <v>0</v>
      </c>
      <c r="P37" s="85"/>
      <c r="Q37" s="84">
        <f t="shared" si="0"/>
        <v>219000</v>
      </c>
      <c r="R37" s="85"/>
      <c r="S37" s="84">
        <v>27500</v>
      </c>
      <c r="T37" s="85"/>
      <c r="U37" s="84">
        <v>5296246349</v>
      </c>
      <c r="V37" s="85"/>
      <c r="W37" s="84">
        <v>5975946075</v>
      </c>
      <c r="X37" s="80"/>
      <c r="Y37" s="81">
        <f t="shared" si="1"/>
        <v>0.19292414030624219</v>
      </c>
      <c r="Z37" s="21"/>
      <c r="AA37" s="21"/>
    </row>
    <row r="38" spans="1:27" ht="21.75" customHeight="1">
      <c r="A38" s="12" t="s">
        <v>154</v>
      </c>
      <c r="B38" s="12"/>
      <c r="C38" s="84">
        <v>0</v>
      </c>
      <c r="D38" s="85"/>
      <c r="E38" s="84">
        <v>0</v>
      </c>
      <c r="F38" s="85"/>
      <c r="G38" s="84">
        <v>0</v>
      </c>
      <c r="H38" s="85"/>
      <c r="I38" s="84">
        <v>5000000</v>
      </c>
      <c r="J38" s="85"/>
      <c r="K38" s="84">
        <v>62365348194</v>
      </c>
      <c r="L38" s="85"/>
      <c r="M38" s="84">
        <v>0</v>
      </c>
      <c r="N38" s="85"/>
      <c r="O38" s="84">
        <v>0</v>
      </c>
      <c r="P38" s="85"/>
      <c r="Q38" s="84">
        <f t="shared" si="0"/>
        <v>5000000</v>
      </c>
      <c r="R38" s="85"/>
      <c r="S38" s="84">
        <v>12180</v>
      </c>
      <c r="T38" s="85"/>
      <c r="U38" s="84">
        <v>62365348194</v>
      </c>
      <c r="V38" s="85"/>
      <c r="W38" s="84">
        <v>60429243000</v>
      </c>
      <c r="X38" s="80"/>
      <c r="Y38" s="81">
        <f t="shared" si="1"/>
        <v>1.950864283046932</v>
      </c>
      <c r="Z38" s="21"/>
      <c r="AA38" s="21"/>
    </row>
    <row r="39" spans="1:27" ht="21.75" customHeight="1">
      <c r="A39" s="12" t="s">
        <v>183</v>
      </c>
      <c r="B39" s="12"/>
      <c r="C39" s="84">
        <v>0</v>
      </c>
      <c r="D39" s="85"/>
      <c r="E39" s="84">
        <v>0</v>
      </c>
      <c r="F39" s="85"/>
      <c r="G39" s="84">
        <v>0</v>
      </c>
      <c r="H39" s="85"/>
      <c r="I39" s="84">
        <v>11100000</v>
      </c>
      <c r="J39" s="85"/>
      <c r="K39" s="84">
        <v>49192700647</v>
      </c>
      <c r="L39" s="85"/>
      <c r="M39" s="84">
        <v>0</v>
      </c>
      <c r="N39" s="85"/>
      <c r="O39" s="84">
        <v>0</v>
      </c>
      <c r="P39" s="85"/>
      <c r="Q39" s="84">
        <f t="shared" si="0"/>
        <v>11100000</v>
      </c>
      <c r="R39" s="85"/>
      <c r="S39" s="84">
        <v>4790</v>
      </c>
      <c r="T39" s="85"/>
      <c r="U39" s="84">
        <v>49192700647</v>
      </c>
      <c r="V39" s="85"/>
      <c r="W39" s="84">
        <v>52758003630</v>
      </c>
      <c r="X39" s="80"/>
      <c r="Y39" s="81">
        <f t="shared" si="1"/>
        <v>1.703210230957674</v>
      </c>
      <c r="Z39" s="21"/>
      <c r="AA39" s="21"/>
    </row>
    <row r="40" spans="1:27" ht="21.75" customHeight="1">
      <c r="A40" s="12" t="s">
        <v>184</v>
      </c>
      <c r="B40" s="12"/>
      <c r="C40" s="84">
        <v>0</v>
      </c>
      <c r="D40" s="85"/>
      <c r="E40" s="84">
        <v>0</v>
      </c>
      <c r="F40" s="85"/>
      <c r="G40" s="84">
        <v>0</v>
      </c>
      <c r="H40" s="85"/>
      <c r="I40" s="84">
        <v>4000000</v>
      </c>
      <c r="J40" s="85"/>
      <c r="K40" s="84">
        <v>54222987212</v>
      </c>
      <c r="L40" s="85"/>
      <c r="M40" s="84">
        <v>0</v>
      </c>
      <c r="N40" s="85"/>
      <c r="O40" s="84">
        <v>0</v>
      </c>
      <c r="P40" s="85"/>
      <c r="Q40" s="84">
        <f t="shared" si="0"/>
        <v>4000000</v>
      </c>
      <c r="R40" s="85"/>
      <c r="S40" s="84">
        <v>12640</v>
      </c>
      <c r="T40" s="85"/>
      <c r="U40" s="84">
        <v>54222987212</v>
      </c>
      <c r="V40" s="85"/>
      <c r="W40" s="84">
        <v>50169171200</v>
      </c>
      <c r="X40" s="80"/>
      <c r="Y40" s="81">
        <f t="shared" si="1"/>
        <v>1.6196337955805071</v>
      </c>
      <c r="Z40" s="21"/>
      <c r="AA40" s="21"/>
    </row>
    <row r="41" spans="1:27" ht="21.75" customHeight="1">
      <c r="A41" s="12" t="s">
        <v>185</v>
      </c>
      <c r="B41" s="12"/>
      <c r="C41" s="84">
        <v>0</v>
      </c>
      <c r="D41" s="85"/>
      <c r="E41" s="84">
        <v>0</v>
      </c>
      <c r="F41" s="85"/>
      <c r="G41" s="84">
        <v>0</v>
      </c>
      <c r="H41" s="85"/>
      <c r="I41" s="84">
        <v>2400000</v>
      </c>
      <c r="J41" s="85"/>
      <c r="K41" s="84">
        <v>49029654650</v>
      </c>
      <c r="L41" s="85"/>
      <c r="M41" s="84">
        <v>0</v>
      </c>
      <c r="N41" s="85"/>
      <c r="O41" s="84">
        <v>0</v>
      </c>
      <c r="P41" s="85"/>
      <c r="Q41" s="84">
        <f t="shared" si="0"/>
        <v>2400000</v>
      </c>
      <c r="R41" s="85"/>
      <c r="S41" s="84">
        <v>26190</v>
      </c>
      <c r="T41" s="85"/>
      <c r="U41" s="84">
        <v>49029654650</v>
      </c>
      <c r="V41" s="85"/>
      <c r="W41" s="84">
        <v>62370123120</v>
      </c>
      <c r="X41" s="80"/>
      <c r="Y41" s="81">
        <f t="shared" si="1"/>
        <v>2.0135225841576023</v>
      </c>
      <c r="Z41" s="21"/>
      <c r="AA41" s="21"/>
    </row>
    <row r="42" spans="1:27" ht="21.75" customHeight="1" thickBot="1">
      <c r="A42" s="15"/>
      <c r="B42" s="15"/>
      <c r="C42" s="84"/>
      <c r="D42" s="86"/>
      <c r="E42" s="87">
        <f>SUM(E9:E41)</f>
        <v>1710814638212</v>
      </c>
      <c r="F42" s="86"/>
      <c r="G42" s="88">
        <f>SUM(G9:G41)</f>
        <v>2067320453222</v>
      </c>
      <c r="H42" s="86"/>
      <c r="I42" s="89"/>
      <c r="J42" s="86"/>
      <c r="K42" s="88">
        <f>SUM(K9:K41)</f>
        <v>305375145584</v>
      </c>
      <c r="L42" s="86"/>
      <c r="M42" s="89"/>
      <c r="N42" s="86"/>
      <c r="O42" s="88">
        <f>SUM(O9:O41)</f>
        <v>212954252890</v>
      </c>
      <c r="P42" s="86"/>
      <c r="Q42" s="89"/>
      <c r="R42" s="86"/>
      <c r="S42" s="89"/>
      <c r="T42" s="86"/>
      <c r="U42" s="88">
        <f>SUM(U9:U41)</f>
        <v>1765720777760</v>
      </c>
      <c r="V42" s="86"/>
      <c r="W42" s="88">
        <f>SUM(W9:W41)</f>
        <v>2633800275722</v>
      </c>
      <c r="X42" s="82"/>
      <c r="Y42" s="83">
        <f>SUM(Y9:Y41)</f>
        <v>85.028152455677997</v>
      </c>
      <c r="Z42" s="21"/>
    </row>
    <row r="43" spans="1:27" ht="13.5" thickTop="1">
      <c r="U43" s="20"/>
      <c r="W43" s="20"/>
      <c r="Z43" s="21"/>
    </row>
    <row r="44" spans="1:27">
      <c r="E44" s="21"/>
      <c r="G44" s="21"/>
      <c r="U44" s="20"/>
      <c r="W44" s="20"/>
      <c r="Z44" s="21"/>
    </row>
    <row r="45" spans="1:27">
      <c r="E45" s="21"/>
      <c r="G45" s="20"/>
      <c r="U45" s="20"/>
      <c r="W45" s="20"/>
    </row>
    <row r="46" spans="1:27">
      <c r="E46" s="20"/>
      <c r="G46" s="20"/>
      <c r="U46" s="20"/>
      <c r="W46" s="20"/>
    </row>
    <row r="47" spans="1:27">
      <c r="E47" s="20"/>
      <c r="G47" s="20"/>
      <c r="U47" s="20"/>
      <c r="W47" s="20"/>
    </row>
    <row r="48" spans="1:27">
      <c r="E48" s="21"/>
      <c r="G48" s="20"/>
      <c r="U48" s="20"/>
      <c r="W48" s="20"/>
    </row>
    <row r="49" spans="5:23">
      <c r="E49" s="20"/>
      <c r="G49" s="21"/>
      <c r="U49" s="21"/>
      <c r="W49" s="20"/>
    </row>
    <row r="50" spans="5:23">
      <c r="E50" s="111"/>
      <c r="G50" s="20"/>
      <c r="W50" s="20"/>
    </row>
    <row r="51" spans="5:23">
      <c r="E51" s="21"/>
      <c r="G51" s="21"/>
      <c r="W51" s="20"/>
    </row>
    <row r="52" spans="5:23">
      <c r="G52" s="21"/>
      <c r="W52" s="20"/>
    </row>
    <row r="53" spans="5:23">
      <c r="G53" s="111"/>
      <c r="W53" s="20"/>
    </row>
    <row r="54" spans="5:23">
      <c r="W54" s="20"/>
    </row>
    <row r="55" spans="5:23">
      <c r="W55" s="20"/>
    </row>
    <row r="56" spans="5:23">
      <c r="W56" s="20"/>
    </row>
    <row r="57" spans="5:23">
      <c r="W57" s="20"/>
    </row>
    <row r="58" spans="5:23">
      <c r="W58" s="20"/>
    </row>
  </sheetData>
  <mergeCells count="10">
    <mergeCell ref="C6:G6"/>
    <mergeCell ref="I6:O6"/>
    <mergeCell ref="Q6:Y6"/>
    <mergeCell ref="I7:K7"/>
    <mergeCell ref="M7:O7"/>
    <mergeCell ref="A5:Y5"/>
    <mergeCell ref="A1:Y1"/>
    <mergeCell ref="A2:Y2"/>
    <mergeCell ref="A3:Y3"/>
    <mergeCell ref="A4:Y4"/>
  </mergeCells>
  <pageMargins left="0.39" right="0.39" top="0.39" bottom="0.39" header="0" footer="0"/>
  <pageSetup scale="5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B13F4-5B1E-474F-9723-E7C3AAC2A9C3}">
  <sheetPr>
    <pageSetUpPr fitToPage="1"/>
  </sheetPr>
  <dimension ref="A1:AW33"/>
  <sheetViews>
    <sheetView rightToLeft="1" view="pageBreakPreview" zoomScale="89" zoomScaleNormal="100" zoomScaleSheetLayoutView="89" workbookViewId="0">
      <selection activeCell="A27" sqref="A27"/>
    </sheetView>
  </sheetViews>
  <sheetFormatPr defaultRowHeight="12.75"/>
  <cols>
    <col min="1" max="1" width="81.28515625" style="48" bestFit="1" customWidth="1"/>
    <col min="2" max="2" width="1.28515625" style="48" customWidth="1"/>
    <col min="3" max="3" width="13" style="48" customWidth="1"/>
    <col min="4" max="4" width="1.28515625" style="48" customWidth="1"/>
    <col min="5" max="5" width="13" style="48" customWidth="1"/>
    <col min="6" max="6" width="1.28515625" style="48" customWidth="1"/>
    <col min="7" max="7" width="6.42578125" style="48" customWidth="1"/>
    <col min="8" max="8" width="1.28515625" style="48" customWidth="1"/>
    <col min="9" max="9" width="5.140625" style="48" customWidth="1"/>
    <col min="10" max="10" width="1.28515625" style="48" customWidth="1"/>
    <col min="11" max="11" width="9.140625" style="48" customWidth="1"/>
    <col min="12" max="12" width="1.28515625" style="48" customWidth="1"/>
    <col min="13" max="13" width="2.5703125" style="48" customWidth="1"/>
    <col min="14" max="14" width="1.28515625" style="48" customWidth="1"/>
    <col min="15" max="15" width="9.140625" style="48" customWidth="1"/>
    <col min="16" max="16" width="1.28515625" style="48" customWidth="1"/>
    <col min="17" max="17" width="2.5703125" style="48" customWidth="1"/>
    <col min="18" max="20" width="1.28515625" style="48" customWidth="1"/>
    <col min="21" max="21" width="6.42578125" style="48" customWidth="1"/>
    <col min="22" max="22" width="1.28515625" style="48" customWidth="1"/>
    <col min="23" max="23" width="2.5703125" style="48" customWidth="1"/>
    <col min="24" max="26" width="1.28515625" style="48" customWidth="1"/>
    <col min="27" max="27" width="6.42578125" style="48" customWidth="1"/>
    <col min="28" max="28" width="1.28515625" style="48" customWidth="1"/>
    <col min="29" max="29" width="2.5703125" style="48" customWidth="1"/>
    <col min="30" max="32" width="1.28515625" style="48" customWidth="1"/>
    <col min="33" max="33" width="9.140625" style="48" customWidth="1"/>
    <col min="34" max="34" width="1.28515625" style="48" customWidth="1"/>
    <col min="35" max="35" width="2.5703125" style="48" customWidth="1"/>
    <col min="36" max="36" width="1.28515625" style="48" customWidth="1"/>
    <col min="37" max="37" width="9.140625" style="48" customWidth="1"/>
    <col min="38" max="38" width="1.28515625" style="48" customWidth="1"/>
    <col min="39" max="39" width="2.5703125" style="48" customWidth="1"/>
    <col min="40" max="40" width="1.28515625" style="48" customWidth="1"/>
    <col min="41" max="41" width="9.140625" style="48" customWidth="1"/>
    <col min="42" max="42" width="1.28515625" style="48" customWidth="1"/>
    <col min="43" max="43" width="2.5703125" style="48" customWidth="1"/>
    <col min="44" max="44" width="1.28515625" style="48" customWidth="1"/>
    <col min="45" max="45" width="11.7109375" style="48" customWidth="1"/>
    <col min="46" max="47" width="1.28515625" style="48" customWidth="1"/>
    <col min="48" max="48" width="13" style="48" customWidth="1"/>
    <col min="49" max="49" width="7.7109375" style="48" customWidth="1"/>
    <col min="50" max="50" width="0.28515625" style="48" customWidth="1"/>
    <col min="51" max="16384" width="9.140625" style="48"/>
  </cols>
  <sheetData>
    <row r="1" spans="1:49" ht="29.1" customHeight="1">
      <c r="A1" s="133" t="s">
        <v>131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3"/>
      <c r="AF1" s="133"/>
      <c r="AG1" s="133"/>
      <c r="AH1" s="133"/>
      <c r="AI1" s="133"/>
      <c r="AJ1" s="133"/>
      <c r="AK1" s="133"/>
      <c r="AL1" s="133"/>
      <c r="AM1" s="133"/>
      <c r="AN1" s="133"/>
      <c r="AO1" s="133"/>
      <c r="AP1" s="133"/>
      <c r="AQ1" s="133"/>
      <c r="AR1" s="133"/>
      <c r="AS1" s="133"/>
      <c r="AT1" s="133"/>
      <c r="AU1" s="133"/>
      <c r="AV1" s="133"/>
      <c r="AW1" s="133"/>
    </row>
    <row r="2" spans="1:49" ht="21.75" customHeight="1">
      <c r="A2" s="133" t="s">
        <v>0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3"/>
      <c r="AH2" s="133"/>
      <c r="AI2" s="133"/>
      <c r="AJ2" s="133"/>
      <c r="AK2" s="133"/>
      <c r="AL2" s="133"/>
      <c r="AM2" s="133"/>
      <c r="AN2" s="133"/>
      <c r="AO2" s="133"/>
      <c r="AP2" s="133"/>
      <c r="AQ2" s="133"/>
      <c r="AR2" s="133"/>
      <c r="AS2" s="133"/>
      <c r="AT2" s="133"/>
      <c r="AU2" s="133"/>
      <c r="AV2" s="133"/>
      <c r="AW2" s="133"/>
    </row>
    <row r="3" spans="1:49" ht="21.75" customHeight="1">
      <c r="A3" s="134" t="str">
        <f>'0'!A18:I18</f>
        <v>‫برای ماه منتهی به 31 مرداد ماه 1405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3"/>
      <c r="Y3" s="133"/>
      <c r="Z3" s="133"/>
      <c r="AA3" s="133"/>
      <c r="AB3" s="133"/>
      <c r="AC3" s="133"/>
      <c r="AD3" s="133"/>
      <c r="AE3" s="133"/>
      <c r="AF3" s="133"/>
      <c r="AG3" s="133"/>
      <c r="AH3" s="133"/>
      <c r="AI3" s="133"/>
      <c r="AJ3" s="133"/>
      <c r="AK3" s="133"/>
      <c r="AL3" s="133"/>
      <c r="AM3" s="133"/>
      <c r="AN3" s="133"/>
      <c r="AO3" s="133"/>
      <c r="AP3" s="133"/>
      <c r="AQ3" s="133"/>
      <c r="AR3" s="133"/>
      <c r="AS3" s="133"/>
      <c r="AT3" s="133"/>
      <c r="AU3" s="133"/>
      <c r="AV3" s="133"/>
      <c r="AW3" s="133"/>
    </row>
    <row r="4" spans="1:49" ht="14.45" customHeight="1"/>
    <row r="5" spans="1:49" ht="14.45" customHeight="1">
      <c r="A5" s="135" t="s">
        <v>27</v>
      </c>
      <c r="B5" s="135"/>
      <c r="C5" s="135"/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5"/>
      <c r="U5" s="135"/>
      <c r="V5" s="135"/>
      <c r="W5" s="135"/>
      <c r="X5" s="135"/>
      <c r="Y5" s="135"/>
      <c r="Z5" s="135"/>
      <c r="AA5" s="135"/>
      <c r="AB5" s="135"/>
      <c r="AC5" s="135"/>
      <c r="AD5" s="135"/>
      <c r="AE5" s="135"/>
      <c r="AF5" s="135"/>
      <c r="AG5" s="135"/>
      <c r="AH5" s="135"/>
      <c r="AI5" s="135"/>
      <c r="AJ5" s="135"/>
      <c r="AK5" s="135"/>
      <c r="AL5" s="135"/>
      <c r="AM5" s="135"/>
      <c r="AN5" s="135"/>
      <c r="AO5" s="135"/>
      <c r="AP5" s="135"/>
      <c r="AQ5" s="135"/>
      <c r="AR5" s="135"/>
      <c r="AS5" s="135"/>
      <c r="AT5" s="135"/>
      <c r="AU5" s="135"/>
      <c r="AV5" s="135"/>
      <c r="AW5" s="135"/>
    </row>
    <row r="6" spans="1:49" ht="14.45" customHeight="1">
      <c r="I6" s="136" t="s">
        <v>166</v>
      </c>
      <c r="J6" s="136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136"/>
      <c r="AA6" s="136"/>
      <c r="AC6" s="136" t="s">
        <v>186</v>
      </c>
      <c r="AD6" s="136"/>
      <c r="AE6" s="136"/>
      <c r="AF6" s="136"/>
      <c r="AG6" s="136"/>
      <c r="AH6" s="136"/>
      <c r="AI6" s="136"/>
      <c r="AJ6" s="136"/>
      <c r="AK6" s="136"/>
      <c r="AL6" s="136"/>
      <c r="AM6" s="136"/>
      <c r="AN6" s="136"/>
      <c r="AO6" s="136"/>
      <c r="AP6" s="136"/>
      <c r="AQ6" s="136"/>
      <c r="AR6" s="136"/>
      <c r="AS6" s="136"/>
    </row>
    <row r="7" spans="1:49" ht="14.45" customHeight="1"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</row>
    <row r="8" spans="1:49" ht="14.45" customHeight="1">
      <c r="A8" s="136" t="s">
        <v>28</v>
      </c>
      <c r="B8" s="136"/>
      <c r="C8" s="136"/>
      <c r="D8" s="136"/>
      <c r="E8" s="136"/>
      <c r="F8" s="136"/>
      <c r="G8" s="136"/>
      <c r="I8" s="136" t="s">
        <v>29</v>
      </c>
      <c r="J8" s="136"/>
      <c r="K8" s="136"/>
      <c r="M8" s="136" t="s">
        <v>30</v>
      </c>
      <c r="N8" s="136"/>
      <c r="O8" s="136"/>
      <c r="Q8" s="136" t="s">
        <v>31</v>
      </c>
      <c r="R8" s="136"/>
      <c r="S8" s="136"/>
      <c r="T8" s="136"/>
      <c r="U8" s="136"/>
      <c r="W8" s="136" t="s">
        <v>32</v>
      </c>
      <c r="X8" s="136"/>
      <c r="Y8" s="136"/>
      <c r="Z8" s="136"/>
      <c r="AA8" s="136"/>
      <c r="AC8" s="136" t="s">
        <v>29</v>
      </c>
      <c r="AD8" s="136"/>
      <c r="AE8" s="136"/>
      <c r="AF8" s="136"/>
      <c r="AG8" s="136"/>
      <c r="AI8" s="136" t="s">
        <v>30</v>
      </c>
      <c r="AJ8" s="136"/>
      <c r="AK8" s="136"/>
      <c r="AM8" s="136" t="s">
        <v>31</v>
      </c>
      <c r="AN8" s="136"/>
      <c r="AO8" s="136"/>
      <c r="AQ8" s="136" t="s">
        <v>32</v>
      </c>
      <c r="AR8" s="136"/>
      <c r="AS8" s="136"/>
    </row>
    <row r="9" spans="1:49" ht="21.75" customHeight="1">
      <c r="A9" s="127" t="s">
        <v>33</v>
      </c>
      <c r="B9" s="127"/>
      <c r="C9" s="127"/>
      <c r="D9" s="127"/>
      <c r="E9" s="127"/>
      <c r="F9" s="127"/>
      <c r="G9" s="127"/>
      <c r="I9" s="128">
        <v>180189901</v>
      </c>
      <c r="J9" s="128"/>
      <c r="K9" s="128"/>
      <c r="M9" s="128">
        <v>973</v>
      </c>
      <c r="N9" s="128"/>
      <c r="O9" s="128"/>
      <c r="Q9" s="127" t="s">
        <v>34</v>
      </c>
      <c r="R9" s="127"/>
      <c r="S9" s="127"/>
      <c r="T9" s="127"/>
      <c r="U9" s="127"/>
      <c r="W9" s="129">
        <v>0.198525972309885</v>
      </c>
      <c r="X9" s="129"/>
      <c r="Y9" s="129"/>
      <c r="Z9" s="129"/>
      <c r="AA9" s="129"/>
      <c r="AC9" s="128">
        <v>180189901</v>
      </c>
      <c r="AD9" s="128"/>
      <c r="AE9" s="128"/>
      <c r="AF9" s="128"/>
      <c r="AG9" s="128"/>
      <c r="AI9" s="128">
        <v>973</v>
      </c>
      <c r="AJ9" s="128"/>
      <c r="AK9" s="128"/>
      <c r="AM9" s="127" t="s">
        <v>34</v>
      </c>
      <c r="AN9" s="127"/>
      <c r="AO9" s="127"/>
      <c r="AQ9" s="129">
        <v>0.198525972309885</v>
      </c>
      <c r="AR9" s="129"/>
      <c r="AS9" s="129"/>
    </row>
    <row r="10" spans="1:49" ht="21.75" customHeight="1">
      <c r="A10" s="130" t="s">
        <v>35</v>
      </c>
      <c r="B10" s="130"/>
      <c r="C10" s="130"/>
      <c r="D10" s="130"/>
      <c r="E10" s="130"/>
      <c r="F10" s="130"/>
      <c r="G10" s="130"/>
      <c r="I10" s="131">
        <v>95000000</v>
      </c>
      <c r="J10" s="131"/>
      <c r="K10" s="131"/>
      <c r="M10" s="131">
        <v>535</v>
      </c>
      <c r="N10" s="131"/>
      <c r="O10" s="131"/>
      <c r="Q10" s="130" t="s">
        <v>36</v>
      </c>
      <c r="R10" s="130"/>
      <c r="S10" s="130"/>
      <c r="T10" s="130"/>
      <c r="U10" s="130"/>
      <c r="W10" s="132">
        <v>0.19888526561935199</v>
      </c>
      <c r="X10" s="132"/>
      <c r="Y10" s="132"/>
      <c r="Z10" s="132"/>
      <c r="AA10" s="132"/>
      <c r="AC10" s="131">
        <v>95000000</v>
      </c>
      <c r="AD10" s="131"/>
      <c r="AE10" s="131"/>
      <c r="AF10" s="131"/>
      <c r="AG10" s="131"/>
      <c r="AI10" s="131">
        <v>535</v>
      </c>
      <c r="AJ10" s="131"/>
      <c r="AK10" s="131"/>
      <c r="AM10" s="130" t="s">
        <v>36</v>
      </c>
      <c r="AN10" s="130"/>
      <c r="AO10" s="130"/>
      <c r="AQ10" s="132">
        <v>0.19888526561935199</v>
      </c>
      <c r="AR10" s="132"/>
      <c r="AS10" s="132"/>
    </row>
    <row r="11" spans="1:49" ht="21.75" customHeight="1"/>
    <row r="12" spans="1:49" ht="21.75" customHeight="1"/>
    <row r="13" spans="1:49" ht="21.75" customHeight="1"/>
    <row r="14" spans="1:49" ht="21.75" customHeight="1"/>
    <row r="15" spans="1:49" ht="21.75" customHeight="1"/>
    <row r="16" spans="1:49" ht="21.75" customHeight="1"/>
    <row r="17" ht="21.75" customHeight="1"/>
    <row r="18" ht="21.75" customHeight="1"/>
    <row r="19" ht="21.75" customHeight="1"/>
    <row r="20" ht="21.75" customHeight="1"/>
    <row r="21" ht="21.75" customHeight="1"/>
    <row r="22" ht="21.75" customHeight="1"/>
    <row r="23" ht="21.75" customHeight="1"/>
    <row r="24" ht="21.75" customHeight="1"/>
    <row r="25" ht="21.75" customHeight="1"/>
    <row r="26" ht="21.75" customHeight="1"/>
    <row r="27" ht="21.75" customHeight="1"/>
    <row r="28" ht="21.75" customHeight="1"/>
    <row r="29" ht="21.75" customHeight="1"/>
    <row r="30" ht="21.75" customHeight="1"/>
    <row r="31" ht="21.75" customHeight="1"/>
    <row r="32" ht="21.75" customHeight="1"/>
    <row r="33" ht="21.75" customHeight="1"/>
  </sheetData>
  <mergeCells count="33">
    <mergeCell ref="AI8:AK8"/>
    <mergeCell ref="AM8:AO8"/>
    <mergeCell ref="AQ8:AS8"/>
    <mergeCell ref="AC8:AG8"/>
    <mergeCell ref="AQ10:AS10"/>
    <mergeCell ref="AC9:AG9"/>
    <mergeCell ref="AI9:AK9"/>
    <mergeCell ref="AM9:AO9"/>
    <mergeCell ref="AQ9:AS9"/>
    <mergeCell ref="AC10:AG10"/>
    <mergeCell ref="AI10:AK10"/>
    <mergeCell ref="AM10:AO10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  <mergeCell ref="A10:G10"/>
    <mergeCell ref="I10:K10"/>
    <mergeCell ref="M10:O10"/>
    <mergeCell ref="Q10:U10"/>
    <mergeCell ref="W10:AA10"/>
    <mergeCell ref="A9:G9"/>
    <mergeCell ref="I9:K9"/>
    <mergeCell ref="M9:O9"/>
    <mergeCell ref="Q9:U9"/>
    <mergeCell ref="W9:AA9"/>
  </mergeCells>
  <pageMargins left="0.39" right="0.39" top="0.39" bottom="0.39" header="0" footer="0"/>
  <pageSetup scale="5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K25"/>
  <sheetViews>
    <sheetView rightToLeft="1" view="pageBreakPreview" zoomScale="87" zoomScaleNormal="100" zoomScaleSheetLayoutView="87" workbookViewId="0">
      <selection activeCell="E16" sqref="E16"/>
    </sheetView>
  </sheetViews>
  <sheetFormatPr defaultRowHeight="12.75"/>
  <cols>
    <col min="1" max="1" width="29.7109375" bestFit="1" customWidth="1"/>
    <col min="2" max="2" width="1.28515625" customWidth="1"/>
    <col min="3" max="3" width="12.28515625" bestFit="1" customWidth="1"/>
    <col min="4" max="4" width="1.28515625" customWidth="1"/>
    <col min="5" max="5" width="14.5703125" bestFit="1" customWidth="1"/>
    <col min="6" max="6" width="1.28515625" customWidth="1"/>
    <col min="7" max="7" width="15.5703125" bestFit="1" customWidth="1"/>
    <col min="8" max="8" width="1.28515625" customWidth="1"/>
    <col min="9" max="9" width="12.85546875" bestFit="1" customWidth="1"/>
    <col min="10" max="10" width="1.28515625" customWidth="1"/>
    <col min="11" max="11" width="12.85546875" bestFit="1" customWidth="1"/>
    <col min="12" max="12" width="1.28515625" customWidth="1"/>
    <col min="13" max="13" width="9.140625" bestFit="1" customWidth="1"/>
    <col min="14" max="14" width="1.28515625" customWidth="1"/>
    <col min="15" max="15" width="17.28515625" bestFit="1" customWidth="1"/>
    <col min="16" max="16" width="1.28515625" customWidth="1"/>
    <col min="17" max="17" width="17.28515625" bestFit="1" customWidth="1"/>
    <col min="18" max="18" width="1.28515625" customWidth="1"/>
    <col min="19" max="19" width="9.140625" bestFit="1" customWidth="1"/>
    <col min="20" max="20" width="1.28515625" customWidth="1"/>
    <col min="21" max="21" width="17.28515625" bestFit="1" customWidth="1"/>
    <col min="22" max="22" width="1.28515625" customWidth="1"/>
    <col min="23" max="23" width="9.85546875" bestFit="1" customWidth="1"/>
    <col min="24" max="24" width="1.28515625" customWidth="1"/>
    <col min="25" max="25" width="17.7109375" bestFit="1" customWidth="1"/>
    <col min="26" max="26" width="1.28515625" customWidth="1"/>
    <col min="27" max="27" width="9.140625" bestFit="1" customWidth="1"/>
    <col min="28" max="28" width="1.28515625" customWidth="1"/>
    <col min="29" max="29" width="16.140625" bestFit="1" customWidth="1"/>
    <col min="30" max="30" width="1.28515625" customWidth="1"/>
    <col min="31" max="31" width="17.28515625" bestFit="1" customWidth="1"/>
    <col min="32" max="32" width="1.28515625" customWidth="1"/>
    <col min="33" max="33" width="17.85546875" bestFit="1" customWidth="1"/>
    <col min="34" max="34" width="1.28515625" customWidth="1"/>
    <col min="35" max="35" width="18.5703125" bestFit="1" customWidth="1"/>
    <col min="36" max="36" width="0.28515625" customWidth="1"/>
  </cols>
  <sheetData>
    <row r="1" spans="1:37" ht="29.1" customHeight="1">
      <c r="A1" s="123" t="str">
        <f>سهام!A1</f>
        <v>صندوق حفظ ارزش دماوند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  <c r="AC1" s="123"/>
      <c r="AD1" s="123"/>
      <c r="AE1" s="123"/>
      <c r="AF1" s="123"/>
      <c r="AG1" s="123"/>
      <c r="AH1" s="123"/>
      <c r="AI1" s="123"/>
    </row>
    <row r="2" spans="1:37" ht="21.75" customHeight="1">
      <c r="A2" s="123" t="s">
        <v>0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</row>
    <row r="3" spans="1:37" ht="21.75" customHeight="1">
      <c r="A3" s="124" t="str">
        <f>'0'!A18:I18</f>
        <v>‫برای ماه منتهی به 31 مرداد ماه 1405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3"/>
      <c r="W3" s="123"/>
      <c r="X3" s="123"/>
      <c r="Y3" s="123"/>
      <c r="Z3" s="123"/>
      <c r="AA3" s="123"/>
      <c r="AB3" s="123"/>
      <c r="AC3" s="123"/>
      <c r="AD3" s="123"/>
      <c r="AE3" s="123"/>
      <c r="AF3" s="123"/>
      <c r="AG3" s="123"/>
      <c r="AH3" s="123"/>
      <c r="AI3" s="123"/>
    </row>
    <row r="4" spans="1:37" ht="14.45" customHeight="1"/>
    <row r="5" spans="1:37" ht="14.45" customHeight="1">
      <c r="A5" s="122" t="s">
        <v>125</v>
      </c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2"/>
      <c r="X5" s="122"/>
      <c r="Y5" s="122"/>
      <c r="Z5" s="122"/>
      <c r="AA5" s="122"/>
      <c r="AB5" s="122"/>
      <c r="AC5" s="122"/>
      <c r="AD5" s="122"/>
      <c r="AE5" s="122"/>
      <c r="AF5" s="122"/>
      <c r="AG5" s="122"/>
      <c r="AH5" s="122"/>
      <c r="AI5" s="122"/>
    </row>
    <row r="6" spans="1:37" ht="14.45" customHeight="1">
      <c r="A6" s="125"/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5" t="s">
        <v>166</v>
      </c>
      <c r="N6" s="125"/>
      <c r="O6" s="125"/>
      <c r="P6" s="125"/>
      <c r="Q6" s="125"/>
      <c r="S6" s="125" t="s">
        <v>1</v>
      </c>
      <c r="T6" s="125"/>
      <c r="U6" s="125"/>
      <c r="V6" s="125"/>
      <c r="W6" s="125"/>
      <c r="X6" s="125"/>
      <c r="Y6" s="125"/>
      <c r="AA6" s="125" t="s">
        <v>186</v>
      </c>
      <c r="AB6" s="125"/>
      <c r="AC6" s="125"/>
      <c r="AD6" s="125"/>
      <c r="AE6" s="125"/>
      <c r="AF6" s="125"/>
      <c r="AG6" s="125"/>
      <c r="AH6" s="125"/>
      <c r="AI6" s="125"/>
    </row>
    <row r="7" spans="1:37" ht="14.4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S7" s="126" t="s">
        <v>2</v>
      </c>
      <c r="T7" s="126"/>
      <c r="U7" s="126"/>
      <c r="V7" s="3"/>
      <c r="W7" s="126" t="s">
        <v>3</v>
      </c>
      <c r="X7" s="126"/>
      <c r="Y7" s="126"/>
      <c r="AA7" s="3"/>
      <c r="AB7" s="3"/>
      <c r="AC7" s="3"/>
      <c r="AD7" s="3"/>
      <c r="AE7" s="3"/>
      <c r="AF7" s="3"/>
      <c r="AG7" s="3"/>
      <c r="AH7" s="3"/>
      <c r="AI7" s="3"/>
    </row>
    <row r="8" spans="1:37" ht="42">
      <c r="A8" s="13" t="s">
        <v>38</v>
      </c>
      <c r="C8" s="7" t="s">
        <v>39</v>
      </c>
      <c r="E8" s="7" t="s">
        <v>40</v>
      </c>
      <c r="G8" s="2" t="s">
        <v>41</v>
      </c>
      <c r="I8" s="2" t="s">
        <v>42</v>
      </c>
      <c r="K8" s="2" t="s">
        <v>43</v>
      </c>
      <c r="M8" s="2" t="s">
        <v>5</v>
      </c>
      <c r="O8" s="2" t="s">
        <v>6</v>
      </c>
      <c r="Q8" s="2" t="s">
        <v>7</v>
      </c>
      <c r="S8" s="2" t="s">
        <v>5</v>
      </c>
      <c r="T8" s="3"/>
      <c r="U8" s="2" t="s">
        <v>6</v>
      </c>
      <c r="W8" s="2" t="s">
        <v>5</v>
      </c>
      <c r="X8" s="3"/>
      <c r="Y8" s="2" t="s">
        <v>8</v>
      </c>
      <c r="AA8" s="2" t="s">
        <v>5</v>
      </c>
      <c r="AC8" s="2" t="s">
        <v>9</v>
      </c>
      <c r="AE8" s="2" t="s">
        <v>6</v>
      </c>
      <c r="AG8" s="2" t="s">
        <v>7</v>
      </c>
      <c r="AI8" s="2" t="s">
        <v>10</v>
      </c>
    </row>
    <row r="9" spans="1:37" ht="18.75">
      <c r="A9" s="72" t="s">
        <v>74</v>
      </c>
      <c r="B9" s="71"/>
      <c r="C9" s="73" t="s">
        <v>44</v>
      </c>
      <c r="D9" s="71"/>
      <c r="E9" s="73" t="s">
        <v>44</v>
      </c>
      <c r="G9" s="112" t="s">
        <v>145</v>
      </c>
      <c r="H9" s="9"/>
      <c r="I9" s="112" t="s">
        <v>96</v>
      </c>
      <c r="K9" s="11">
        <v>23</v>
      </c>
      <c r="L9" s="20"/>
      <c r="M9" s="84">
        <v>194800</v>
      </c>
      <c r="N9" s="85"/>
      <c r="O9" s="84">
        <v>194903462806</v>
      </c>
      <c r="P9" s="85"/>
      <c r="Q9" s="84">
        <v>194694077500</v>
      </c>
      <c r="R9" s="85"/>
      <c r="S9" s="84">
        <v>150000</v>
      </c>
      <c r="T9" s="85"/>
      <c r="U9" s="84">
        <v>150081562498</v>
      </c>
      <c r="V9" s="85"/>
      <c r="W9" s="84">
        <v>-202800</v>
      </c>
      <c r="X9" s="85"/>
      <c r="Y9" s="84">
        <v>-202689727502</v>
      </c>
      <c r="Z9" s="85"/>
      <c r="AA9" s="84">
        <f>M9+S9+W9</f>
        <v>142000</v>
      </c>
      <c r="AB9" s="85"/>
      <c r="AC9" s="84">
        <v>1000000</v>
      </c>
      <c r="AD9" s="85"/>
      <c r="AE9" s="84">
        <v>142076507952</v>
      </c>
      <c r="AF9" s="85"/>
      <c r="AG9" s="84">
        <v>141922787500</v>
      </c>
      <c r="AH9" s="82"/>
      <c r="AI9" s="90">
        <f>AG9/2579398534480*100</f>
        <v>5.5021659353082972</v>
      </c>
      <c r="AK9" s="33"/>
    </row>
    <row r="10" spans="1:37" ht="18.75">
      <c r="A10" s="72" t="s">
        <v>73</v>
      </c>
      <c r="B10" s="71"/>
      <c r="C10" s="73" t="s">
        <v>44</v>
      </c>
      <c r="D10" s="71"/>
      <c r="E10" s="73" t="s">
        <v>44</v>
      </c>
      <c r="G10" s="112" t="s">
        <v>159</v>
      </c>
      <c r="H10" s="9"/>
      <c r="I10" s="112" t="s">
        <v>97</v>
      </c>
      <c r="K10" s="11">
        <v>23</v>
      </c>
      <c r="L10" s="20"/>
      <c r="M10" s="84">
        <v>237600</v>
      </c>
      <c r="N10" s="85"/>
      <c r="O10" s="84">
        <v>237721695000</v>
      </c>
      <c r="P10" s="85"/>
      <c r="Q10" s="84">
        <v>237470805000</v>
      </c>
      <c r="R10" s="85"/>
      <c r="S10" s="84">
        <v>0</v>
      </c>
      <c r="T10" s="85"/>
      <c r="U10" s="84">
        <v>0</v>
      </c>
      <c r="V10" s="85"/>
      <c r="W10" s="84">
        <v>0</v>
      </c>
      <c r="X10" s="85"/>
      <c r="Y10" s="84">
        <v>0</v>
      </c>
      <c r="Z10" s="85"/>
      <c r="AA10" s="84">
        <f>M10+S10+W10</f>
        <v>237600</v>
      </c>
      <c r="AB10" s="85"/>
      <c r="AC10" s="84">
        <v>1000000</v>
      </c>
      <c r="AD10" s="85"/>
      <c r="AE10" s="84">
        <v>237721695000</v>
      </c>
      <c r="AF10" s="85"/>
      <c r="AG10" s="84">
        <v>237470805000</v>
      </c>
      <c r="AH10" s="82"/>
      <c r="AI10" s="90">
        <f>AG10/2579398534480*100</f>
        <v>9.2064410297834609</v>
      </c>
      <c r="AK10" s="33"/>
    </row>
    <row r="11" spans="1:37" ht="21.75" customHeight="1" thickBot="1">
      <c r="A11" s="28"/>
      <c r="B11" s="24"/>
      <c r="C11" s="18"/>
      <c r="D11" s="24"/>
      <c r="E11" s="18"/>
      <c r="F11" s="24"/>
      <c r="G11" s="18"/>
      <c r="H11" s="24"/>
      <c r="I11" s="18"/>
      <c r="J11" s="24"/>
      <c r="K11" s="18"/>
      <c r="L11" s="24"/>
      <c r="M11" s="84"/>
      <c r="N11" s="85"/>
      <c r="O11" s="93">
        <f>SUM(O9:O10)</f>
        <v>432625157806</v>
      </c>
      <c r="P11" s="85"/>
      <c r="Q11" s="93">
        <f>SUM(Q9:Q10)</f>
        <v>432164882500</v>
      </c>
      <c r="R11" s="85"/>
      <c r="S11" s="84"/>
      <c r="T11" s="85"/>
      <c r="U11" s="93">
        <f>SUM(U9:U10)</f>
        <v>150081562498</v>
      </c>
      <c r="V11" s="85"/>
      <c r="W11" s="84"/>
      <c r="X11" s="85"/>
      <c r="Y11" s="93">
        <f>SUM(Y9:Y10)</f>
        <v>-202689727502</v>
      </c>
      <c r="Z11" s="85"/>
      <c r="AA11" s="84"/>
      <c r="AB11" s="85"/>
      <c r="AC11" s="84"/>
      <c r="AD11" s="85"/>
      <c r="AE11" s="93">
        <f>SUM(AE9:AE10)</f>
        <v>379798202952</v>
      </c>
      <c r="AF11" s="85"/>
      <c r="AG11" s="93">
        <f>SUM(AG9:AG10)</f>
        <v>379393592500</v>
      </c>
      <c r="AH11" s="80"/>
      <c r="AI11" s="91">
        <f>SUM(AI9:AI10)</f>
        <v>14.708606965091757</v>
      </c>
    </row>
    <row r="12" spans="1:37" ht="13.5" thickTop="1">
      <c r="AE12" s="32"/>
      <c r="AG12" s="32"/>
    </row>
    <row r="13" spans="1:37">
      <c r="O13" s="32"/>
      <c r="Q13" s="32"/>
      <c r="AE13" s="32"/>
      <c r="AG13" s="32"/>
    </row>
    <row r="14" spans="1:37" ht="18.75">
      <c r="O14" s="32"/>
      <c r="Q14" s="32"/>
      <c r="AE14" s="23"/>
      <c r="AF14" s="23"/>
      <c r="AG14" s="23"/>
    </row>
    <row r="15" spans="1:37" ht="18.75">
      <c r="Q15" s="33"/>
      <c r="AE15" s="23"/>
      <c r="AF15" s="23"/>
      <c r="AG15" s="23"/>
    </row>
    <row r="16" spans="1:37" ht="18.75">
      <c r="AE16" s="23"/>
      <c r="AF16" s="23"/>
      <c r="AG16" s="23"/>
    </row>
    <row r="17" spans="33:33">
      <c r="AG17" s="102"/>
    </row>
    <row r="19" spans="33:33" ht="18.75">
      <c r="AG19" s="23"/>
    </row>
    <row r="20" spans="33:33" ht="18.75">
      <c r="AG20" s="23"/>
    </row>
    <row r="21" spans="33:33" ht="18.75">
      <c r="AG21" s="23"/>
    </row>
    <row r="22" spans="33:33" ht="18.75">
      <c r="AG22" s="23"/>
    </row>
    <row r="23" spans="33:33" ht="18.75">
      <c r="AG23" s="23"/>
    </row>
    <row r="24" spans="33:33" ht="18.75">
      <c r="AG24" s="23"/>
    </row>
    <row r="25" spans="33:33" ht="18.75">
      <c r="AG25" s="23"/>
    </row>
  </sheetData>
  <mergeCells count="10">
    <mergeCell ref="A1:AI1"/>
    <mergeCell ref="A2:AI2"/>
    <mergeCell ref="A3:AI3"/>
    <mergeCell ref="S7:U7"/>
    <mergeCell ref="W7:Y7"/>
    <mergeCell ref="A5:AI5"/>
    <mergeCell ref="A6:L6"/>
    <mergeCell ref="M6:Q6"/>
    <mergeCell ref="S6:Y6"/>
    <mergeCell ref="AA6:AI6"/>
  </mergeCells>
  <pageMargins left="0.39" right="0.39" top="0.39" bottom="0.39" header="0" footer="0"/>
  <pageSetup scale="4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860C1-1BCB-43B7-876B-53C2C0961E6D}">
  <sheetPr>
    <pageSetUpPr fitToPage="1"/>
  </sheetPr>
  <dimension ref="A1:O12"/>
  <sheetViews>
    <sheetView rightToLeft="1" view="pageBreakPreview" topLeftCell="A2" zoomScaleNormal="100" zoomScaleSheetLayoutView="100" workbookViewId="0">
      <selection activeCell="E36" sqref="E35:E36"/>
    </sheetView>
  </sheetViews>
  <sheetFormatPr defaultRowHeight="12.75"/>
  <cols>
    <col min="1" max="1" width="29.85546875" style="48" customWidth="1"/>
    <col min="2" max="2" width="1.28515625" style="48" customWidth="1"/>
    <col min="3" max="3" width="15.5703125" style="48" customWidth="1"/>
    <col min="4" max="4" width="1.28515625" style="48" customWidth="1"/>
    <col min="5" max="5" width="15.5703125" style="48" customWidth="1"/>
    <col min="6" max="6" width="1.28515625" style="48" customWidth="1"/>
    <col min="7" max="7" width="13" style="48" customWidth="1"/>
    <col min="8" max="8" width="1.28515625" style="48" customWidth="1"/>
    <col min="9" max="9" width="13" style="48" customWidth="1"/>
    <col min="10" max="10" width="1.28515625" style="48" customWidth="1"/>
    <col min="11" max="11" width="25.42578125" style="48" bestFit="1" customWidth="1"/>
    <col min="12" max="12" width="1.28515625" style="48" customWidth="1"/>
    <col min="13" max="13" width="33.7109375" style="48" customWidth="1"/>
    <col min="14" max="14" width="0.28515625" style="48" customWidth="1"/>
    <col min="15" max="16384" width="9.140625" style="48"/>
  </cols>
  <sheetData>
    <row r="1" spans="1:15" ht="25.5">
      <c r="A1" s="133" t="s">
        <v>131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</row>
    <row r="2" spans="1:15" ht="25.5">
      <c r="A2" s="133" t="s">
        <v>0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</row>
    <row r="3" spans="1:15" ht="25.5">
      <c r="A3" s="133" t="str">
        <f>سهام!A3</f>
        <v>‫برای ماه منتهی به 31 مرداد ماه 1405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</row>
    <row r="4" spans="1:15" ht="24">
      <c r="A4" s="135" t="s">
        <v>139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</row>
    <row r="5" spans="1:15" ht="24">
      <c r="A5" s="135" t="s">
        <v>138</v>
      </c>
      <c r="B5" s="135"/>
      <c r="C5" s="135"/>
      <c r="D5" s="135"/>
      <c r="E5" s="135"/>
      <c r="F5" s="135"/>
      <c r="G5" s="135"/>
      <c r="H5" s="135"/>
      <c r="I5" s="135"/>
      <c r="J5" s="135"/>
      <c r="K5" s="135"/>
      <c r="L5" s="135"/>
      <c r="M5" s="135"/>
    </row>
    <row r="7" spans="1:15" ht="21">
      <c r="C7" s="136" t="s">
        <v>186</v>
      </c>
      <c r="D7" s="136"/>
      <c r="E7" s="136"/>
      <c r="F7" s="136"/>
      <c r="G7" s="136"/>
      <c r="H7" s="136"/>
      <c r="I7" s="136"/>
      <c r="J7" s="136"/>
      <c r="K7" s="136"/>
      <c r="L7" s="136"/>
      <c r="M7" s="136"/>
    </row>
    <row r="8" spans="1:15" customFormat="1" ht="21">
      <c r="A8" s="16" t="s">
        <v>137</v>
      </c>
      <c r="C8" s="76" t="s">
        <v>5</v>
      </c>
      <c r="D8" s="3"/>
      <c r="E8" s="76" t="s">
        <v>136</v>
      </c>
      <c r="F8" s="3"/>
      <c r="G8" s="76" t="s">
        <v>135</v>
      </c>
      <c r="H8" s="3"/>
      <c r="I8" s="76" t="s">
        <v>134</v>
      </c>
      <c r="J8" s="3"/>
      <c r="K8" s="76" t="s">
        <v>133</v>
      </c>
      <c r="L8" s="3"/>
      <c r="M8" s="76" t="s">
        <v>132</v>
      </c>
    </row>
    <row r="9" spans="1:15" customFormat="1" ht="18.75">
      <c r="A9" s="115" t="s">
        <v>73</v>
      </c>
      <c r="B9" s="113"/>
      <c r="C9" s="116">
        <v>237600</v>
      </c>
      <c r="D9" s="116"/>
      <c r="E9" s="116">
        <v>1000000</v>
      </c>
      <c r="F9" s="116"/>
      <c r="G9" s="116">
        <v>1000000</v>
      </c>
      <c r="H9" s="113"/>
      <c r="I9" s="115" t="s">
        <v>187</v>
      </c>
      <c r="J9" s="113"/>
      <c r="K9" s="116">
        <v>237470805000</v>
      </c>
      <c r="L9" s="113"/>
      <c r="M9" s="115" t="s">
        <v>188</v>
      </c>
    </row>
    <row r="10" spans="1:15" ht="18.75">
      <c r="A10" s="115" t="s">
        <v>74</v>
      </c>
      <c r="B10" s="114"/>
      <c r="C10" s="116">
        <v>142000</v>
      </c>
      <c r="D10" s="116"/>
      <c r="E10" s="116">
        <v>1000000</v>
      </c>
      <c r="F10" s="116"/>
      <c r="G10" s="116">
        <v>1000000</v>
      </c>
      <c r="H10" s="115"/>
      <c r="I10" s="117" t="s">
        <v>187</v>
      </c>
      <c r="J10" s="115"/>
      <c r="K10" s="116">
        <v>141922787500</v>
      </c>
      <c r="L10" s="114"/>
      <c r="M10" s="118" t="s">
        <v>188</v>
      </c>
      <c r="O10"/>
    </row>
    <row r="11" spans="1:15" ht="19.5" thickBot="1">
      <c r="A11" s="114"/>
      <c r="B11" s="114"/>
      <c r="C11" s="114"/>
      <c r="D11" s="114"/>
      <c r="E11" s="114"/>
      <c r="F11" s="114"/>
      <c r="G11" s="114"/>
      <c r="H11" s="114"/>
      <c r="I11" s="114"/>
      <c r="J11" s="114"/>
      <c r="K11" s="119">
        <f>SUM(K10:K10)</f>
        <v>141922787500</v>
      </c>
      <c r="L11" s="114"/>
      <c r="M11" s="114"/>
    </row>
    <row r="12" spans="1:15" ht="13.5" thickTop="1"/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scale="8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K17"/>
  <sheetViews>
    <sheetView rightToLeft="1" view="pageBreakPreview" zoomScaleNormal="100" zoomScaleSheetLayoutView="100" workbookViewId="0">
      <selection activeCell="E22" sqref="E22:G22"/>
    </sheetView>
  </sheetViews>
  <sheetFormatPr defaultRowHeight="12.75"/>
  <cols>
    <col min="1" max="1" width="26" bestFit="1" customWidth="1"/>
    <col min="2" max="2" width="1.28515625" customWidth="1"/>
    <col min="3" max="3" width="15.7109375" bestFit="1" customWidth="1"/>
    <col min="4" max="4" width="1.28515625" customWidth="1"/>
    <col min="5" max="5" width="16.7109375" bestFit="1" customWidth="1"/>
    <col min="6" max="6" width="1.28515625" customWidth="1"/>
    <col min="7" max="7" width="17.7109375" bestFit="1" customWidth="1"/>
    <col min="8" max="8" width="1.28515625" customWidth="1"/>
    <col min="9" max="9" width="15.7109375" bestFit="1" customWidth="1"/>
    <col min="10" max="10" width="1.28515625" customWidth="1"/>
    <col min="11" max="11" width="18.28515625" bestFit="1" customWidth="1"/>
    <col min="12" max="12" width="0.28515625" customWidth="1"/>
  </cols>
  <sheetData>
    <row r="1" spans="1:11" ht="29.1" customHeight="1">
      <c r="A1" s="123" t="str">
        <f>سهام!A1</f>
        <v>صندوق حفظ ارزش دماوند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</row>
    <row r="2" spans="1:11" ht="21.75" customHeight="1">
      <c r="A2" s="123" t="s">
        <v>0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</row>
    <row r="3" spans="1:11" ht="21.75" customHeight="1">
      <c r="A3" s="123" t="str">
        <f>سهام!A3</f>
        <v>‫برای ماه منتهی به 31 مرداد ماه 1405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</row>
    <row r="4" spans="1:11" ht="14.45" customHeight="1"/>
    <row r="5" spans="1:11" ht="14.45" customHeight="1">
      <c r="A5" s="122" t="s">
        <v>112</v>
      </c>
      <c r="B5" s="122"/>
      <c r="C5" s="122"/>
      <c r="D5" s="122"/>
      <c r="E5" s="122"/>
      <c r="F5" s="122"/>
      <c r="G5" s="122"/>
      <c r="H5" s="122"/>
      <c r="I5" s="122"/>
      <c r="J5" s="122"/>
      <c r="K5" s="122"/>
    </row>
    <row r="6" spans="1:11" ht="14.45" customHeight="1">
      <c r="C6" s="2" t="s">
        <v>166</v>
      </c>
      <c r="E6" s="125" t="s">
        <v>1</v>
      </c>
      <c r="F6" s="125"/>
      <c r="G6" s="125"/>
      <c r="I6" s="137" t="s">
        <v>186</v>
      </c>
      <c r="J6" s="137"/>
      <c r="K6" s="137"/>
    </row>
    <row r="7" spans="1:11" ht="14.45" customHeight="1">
      <c r="A7" s="13" t="s">
        <v>45</v>
      </c>
      <c r="C7" s="2" t="s">
        <v>46</v>
      </c>
      <c r="E7" s="2" t="s">
        <v>47</v>
      </c>
      <c r="G7" s="2" t="s">
        <v>48</v>
      </c>
      <c r="I7" s="2" t="s">
        <v>46</v>
      </c>
      <c r="K7" s="2" t="s">
        <v>10</v>
      </c>
    </row>
    <row r="8" spans="1:11" ht="21.75" customHeight="1">
      <c r="A8" s="14" t="s">
        <v>108</v>
      </c>
      <c r="C8" s="84">
        <v>6896150746</v>
      </c>
      <c r="D8" s="84">
        <v>0</v>
      </c>
      <c r="E8" s="84">
        <v>94339734961</v>
      </c>
      <c r="F8" s="84">
        <v>0</v>
      </c>
      <c r="G8" s="84">
        <v>-95393512455</v>
      </c>
      <c r="H8" s="84">
        <v>0</v>
      </c>
      <c r="I8" s="84">
        <f>C8+E8+G8</f>
        <v>5842373252</v>
      </c>
      <c r="J8" s="82"/>
      <c r="K8" s="90">
        <f>I8/3097562630324*100</f>
        <v>0.1886119491113856</v>
      </c>
    </row>
    <row r="9" spans="1:11" ht="21.75" customHeight="1">
      <c r="A9" s="12" t="s">
        <v>109</v>
      </c>
      <c r="C9" s="84">
        <v>4802168</v>
      </c>
      <c r="D9" s="84"/>
      <c r="E9" s="84">
        <v>16093</v>
      </c>
      <c r="F9" s="84"/>
      <c r="G9" s="84">
        <v>-4818261</v>
      </c>
      <c r="H9" s="84"/>
      <c r="I9" s="84">
        <f t="shared" ref="I9:I12" si="0">C9+E9+G9</f>
        <v>0</v>
      </c>
      <c r="J9" s="82"/>
      <c r="K9" s="90">
        <f t="shared" ref="K9:K12" si="1">I9/3097562630324*100</f>
        <v>0</v>
      </c>
    </row>
    <row r="10" spans="1:11" ht="21.75" customHeight="1">
      <c r="A10" s="12" t="s">
        <v>110</v>
      </c>
      <c r="C10" s="84">
        <v>59611474</v>
      </c>
      <c r="D10" s="84"/>
      <c r="E10" s="84">
        <v>20382113</v>
      </c>
      <c r="F10" s="84"/>
      <c r="G10" s="84">
        <v>-4026</v>
      </c>
      <c r="H10" s="84"/>
      <c r="I10" s="84">
        <f t="shared" si="0"/>
        <v>79989561</v>
      </c>
      <c r="J10" s="82"/>
      <c r="K10" s="90">
        <f t="shared" si="1"/>
        <v>2.5823387787846995E-3</v>
      </c>
    </row>
    <row r="11" spans="1:11" ht="21.75" customHeight="1">
      <c r="A11" s="12" t="s">
        <v>111</v>
      </c>
      <c r="C11" s="84">
        <v>14000000000</v>
      </c>
      <c r="D11" s="84"/>
      <c r="E11" s="84">
        <v>0</v>
      </c>
      <c r="F11" s="84"/>
      <c r="G11" s="84">
        <v>0</v>
      </c>
      <c r="H11" s="84"/>
      <c r="I11" s="84">
        <f t="shared" si="0"/>
        <v>14000000000</v>
      </c>
      <c r="J11" s="82"/>
      <c r="K11" s="90">
        <f t="shared" si="1"/>
        <v>0.45196826249597488</v>
      </c>
    </row>
    <row r="12" spans="1:11" ht="21.75" customHeight="1">
      <c r="A12" s="12" t="s">
        <v>160</v>
      </c>
      <c r="C12" s="84">
        <v>2833668</v>
      </c>
      <c r="D12" s="84"/>
      <c r="E12" s="84">
        <v>1407142010</v>
      </c>
      <c r="F12" s="84"/>
      <c r="G12" s="84">
        <v>-6000</v>
      </c>
      <c r="H12" s="84"/>
      <c r="I12" s="84">
        <f t="shared" si="0"/>
        <v>1409969678</v>
      </c>
      <c r="J12" s="82"/>
      <c r="K12" s="90">
        <f t="shared" si="1"/>
        <v>4.5518681824119223E-2</v>
      </c>
    </row>
    <row r="13" spans="1:11" ht="21.75" customHeight="1" thickBot="1">
      <c r="A13" s="15"/>
      <c r="C13" s="93">
        <f>SUM(C8:C12)</f>
        <v>20963398056</v>
      </c>
      <c r="D13" s="85"/>
      <c r="E13" s="93">
        <f>SUM(E8:E12)</f>
        <v>95767275177</v>
      </c>
      <c r="F13" s="85"/>
      <c r="G13" s="93">
        <f>SUM(G8:G12)</f>
        <v>-95398340742</v>
      </c>
      <c r="H13" s="85"/>
      <c r="I13" s="93">
        <f>SUM(I8:I12)</f>
        <v>21332332491</v>
      </c>
      <c r="J13" s="82"/>
      <c r="K13" s="95">
        <f>SUM(K8:K12)</f>
        <v>0.68868123221026434</v>
      </c>
    </row>
    <row r="14" spans="1:11" ht="13.5" thickTop="1">
      <c r="E14" s="102"/>
      <c r="G14" s="32"/>
      <c r="I14" s="32"/>
    </row>
    <row r="15" spans="1:11">
      <c r="C15" s="32"/>
      <c r="I15" s="32"/>
    </row>
    <row r="16" spans="1:11">
      <c r="C16" s="32"/>
      <c r="I16" s="32"/>
    </row>
    <row r="17" spans="3:9">
      <c r="C17" s="102"/>
      <c r="I17" s="102"/>
    </row>
  </sheetData>
  <mergeCells count="6">
    <mergeCell ref="A1:K1"/>
    <mergeCell ref="A2:K2"/>
    <mergeCell ref="A3:K3"/>
    <mergeCell ref="I6:K6"/>
    <mergeCell ref="A5:K5"/>
    <mergeCell ref="E6:G6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32"/>
  <sheetViews>
    <sheetView rightToLeft="1" view="pageBreakPreview" zoomScaleNormal="100" zoomScaleSheetLayoutView="100" workbookViewId="0">
      <selection activeCell="D27" sqref="D27"/>
    </sheetView>
  </sheetViews>
  <sheetFormatPr defaultRowHeight="12.75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2" width="16.140625" hidden="1" customWidth="1"/>
    <col min="13" max="13" width="16.42578125" hidden="1" customWidth="1"/>
    <col min="14" max="14" width="15.42578125" bestFit="1" customWidth="1"/>
    <col min="15" max="15" width="13.7109375" bestFit="1" customWidth="1"/>
    <col min="16" max="16" width="15.5703125" bestFit="1" customWidth="1"/>
    <col min="17" max="17" width="16" bestFit="1" customWidth="1"/>
    <col min="18" max="18" width="12.7109375" bestFit="1" customWidth="1"/>
    <col min="19" max="19" width="16" bestFit="1" customWidth="1"/>
    <col min="20" max="20" width="16.140625" bestFit="1" customWidth="1"/>
  </cols>
  <sheetData>
    <row r="1" spans="1:20" ht="29.1" customHeight="1">
      <c r="A1" s="123" t="str">
        <f>سهام!A1</f>
        <v>صندوق حفظ ارزش دماوند</v>
      </c>
      <c r="B1" s="123"/>
      <c r="C1" s="123"/>
      <c r="D1" s="123"/>
      <c r="E1" s="123"/>
      <c r="F1" s="123"/>
      <c r="G1" s="123"/>
      <c r="H1" s="123"/>
      <c r="I1" s="123"/>
      <c r="J1" s="123"/>
    </row>
    <row r="2" spans="1:20" ht="21.75" customHeight="1">
      <c r="A2" s="123" t="s">
        <v>49</v>
      </c>
      <c r="B2" s="123"/>
      <c r="C2" s="123"/>
      <c r="D2" s="123"/>
      <c r="E2" s="123"/>
      <c r="F2" s="123"/>
      <c r="G2" s="123"/>
      <c r="H2" s="123"/>
      <c r="I2" s="123"/>
      <c r="J2" s="123"/>
    </row>
    <row r="3" spans="1:20" ht="21.75" customHeight="1">
      <c r="A3" s="123" t="str">
        <f>سهام!A3</f>
        <v>‫برای ماه منتهی به 31 مرداد ماه 1405</v>
      </c>
      <c r="B3" s="123"/>
      <c r="C3" s="123"/>
      <c r="D3" s="123"/>
      <c r="E3" s="123"/>
      <c r="F3" s="123"/>
      <c r="G3" s="123"/>
      <c r="H3" s="123"/>
      <c r="I3" s="123"/>
      <c r="J3" s="123"/>
    </row>
    <row r="4" spans="1:20" ht="14.45" customHeight="1"/>
    <row r="5" spans="1:20" ht="29.1" customHeight="1">
      <c r="A5" s="1" t="s">
        <v>50</v>
      </c>
      <c r="B5" s="140" t="s">
        <v>51</v>
      </c>
      <c r="C5" s="140"/>
      <c r="D5" s="140"/>
      <c r="E5" s="140"/>
      <c r="F5" s="140"/>
      <c r="G5" s="140"/>
      <c r="H5" s="140"/>
      <c r="I5" s="140"/>
      <c r="J5" s="140"/>
    </row>
    <row r="6" spans="1:20" ht="14.45" customHeight="1">
      <c r="M6" s="22"/>
    </row>
    <row r="7" spans="1:20" ht="14.45" customHeight="1">
      <c r="A7" s="125" t="s">
        <v>52</v>
      </c>
      <c r="B7" s="125"/>
      <c r="D7" s="2" t="s">
        <v>53</v>
      </c>
      <c r="F7" s="2" t="s">
        <v>46</v>
      </c>
      <c r="H7" s="2" t="s">
        <v>54</v>
      </c>
      <c r="J7" s="2" t="s">
        <v>55</v>
      </c>
      <c r="M7" s="22"/>
    </row>
    <row r="8" spans="1:20" ht="21.75" customHeight="1">
      <c r="A8" s="138" t="s">
        <v>56</v>
      </c>
      <c r="B8" s="138"/>
      <c r="C8" s="24"/>
      <c r="D8" s="26" t="s">
        <v>57</v>
      </c>
      <c r="E8" s="24"/>
      <c r="F8" s="92">
        <f>'درآمد سرمایه گذاری در سهام'!S54</f>
        <v>1298638044628</v>
      </c>
      <c r="G8" s="80"/>
      <c r="H8" s="81">
        <f>F8/$F$12*100</f>
        <v>97.968636055428846</v>
      </c>
      <c r="I8" s="96"/>
      <c r="J8" s="81">
        <f>F8/3097562630324*100</f>
        <v>41.924512902977675</v>
      </c>
      <c r="K8" s="33" t="e">
        <f>'درآمد سرمایه گذاری در سهام'!#REF!</f>
        <v>#REF!</v>
      </c>
      <c r="L8" s="32" t="e">
        <f>'درآمد سرمایه گذاری در سهام'!#REF!</f>
        <v>#REF!</v>
      </c>
      <c r="M8" s="22" t="e">
        <f>'درآمد سرمایه گذاری در سهام'!#REF!</f>
        <v>#REF!</v>
      </c>
      <c r="N8" s="32"/>
      <c r="O8" s="32"/>
      <c r="P8" s="32"/>
      <c r="Q8" s="32"/>
      <c r="R8" s="32"/>
    </row>
    <row r="9" spans="1:20" ht="21.75" customHeight="1">
      <c r="A9" s="139" t="s">
        <v>59</v>
      </c>
      <c r="B9" s="139"/>
      <c r="C9" s="24"/>
      <c r="D9" s="27" t="s">
        <v>58</v>
      </c>
      <c r="E9" s="24"/>
      <c r="F9" s="84">
        <f>'درآمد سرمایه گذاری در اوراق به'!Q12</f>
        <v>23590827535</v>
      </c>
      <c r="G9" s="80"/>
      <c r="H9" s="81">
        <f>F9/$F$12*100</f>
        <v>1.7796808021936905</v>
      </c>
      <c r="I9" s="96"/>
      <c r="J9" s="81">
        <f t="shared" ref="J9:J11" si="0">F9/3097562630324*100</f>
        <v>0.76159323798829659</v>
      </c>
      <c r="K9" s="33">
        <f>'درآمد سرمایه گذاری در اوراق به'!I12</f>
        <v>10477332052</v>
      </c>
      <c r="L9" s="33">
        <f>'درآمد سرمایه گذاری در اوراق به'!I12</f>
        <v>10477332052</v>
      </c>
      <c r="M9" s="22">
        <f>'درآمد سرمایه گذاری در اوراق به'!I12</f>
        <v>10477332052</v>
      </c>
      <c r="N9" s="32"/>
      <c r="O9" s="32"/>
      <c r="P9" s="32"/>
      <c r="Q9" s="78"/>
      <c r="R9" s="33"/>
      <c r="S9" s="32"/>
      <c r="T9" s="33"/>
    </row>
    <row r="10" spans="1:20" ht="21.75" customHeight="1">
      <c r="A10" s="139" t="s">
        <v>61</v>
      </c>
      <c r="B10" s="139"/>
      <c r="C10" s="24"/>
      <c r="D10" s="27" t="s">
        <v>60</v>
      </c>
      <c r="E10" s="24"/>
      <c r="F10" s="84">
        <f>'درآمد سپرده بانکی'!G13</f>
        <v>1191978767</v>
      </c>
      <c r="G10" s="80"/>
      <c r="H10" s="81">
        <f t="shared" ref="H10:H11" si="1">F10/$F$12*100</f>
        <v>8.9922310911099881E-2</v>
      </c>
      <c r="I10" s="96"/>
      <c r="J10" s="81">
        <f t="shared" si="0"/>
        <v>3.8481183732363172E-2</v>
      </c>
      <c r="K10" s="32">
        <f>'درآمد سپرده بانکی'!C13</f>
        <v>389451434</v>
      </c>
      <c r="L10" s="32">
        <f>'درآمد سپرده بانکی'!C13</f>
        <v>389451434</v>
      </c>
      <c r="M10" s="22">
        <f>'درآمد سپرده بانکی'!C13</f>
        <v>389451434</v>
      </c>
      <c r="N10" s="32"/>
      <c r="O10" s="102"/>
    </row>
    <row r="11" spans="1:20" ht="21.75" customHeight="1">
      <c r="A11" s="139" t="s">
        <v>63</v>
      </c>
      <c r="B11" s="139"/>
      <c r="C11" s="24"/>
      <c r="D11" s="27" t="s">
        <v>62</v>
      </c>
      <c r="E11" s="24"/>
      <c r="F11" s="84">
        <f>'سایر درآمدها'!E11</f>
        <v>2144245121</v>
      </c>
      <c r="G11" s="80"/>
      <c r="H11" s="81">
        <f t="shared" si="1"/>
        <v>0.16176083146636369</v>
      </c>
      <c r="I11" s="96"/>
      <c r="J11" s="81">
        <f t="shared" si="0"/>
        <v>6.9223624407417236E-2</v>
      </c>
      <c r="K11" s="32">
        <f>'سایر درآمدها'!C11</f>
        <v>422150890</v>
      </c>
      <c r="L11" s="32">
        <f>'سایر درآمدها'!C11</f>
        <v>422150890</v>
      </c>
      <c r="M11" s="22">
        <f>'سایر درآمدها'!C11</f>
        <v>422150890</v>
      </c>
      <c r="N11" s="32"/>
    </row>
    <row r="12" spans="1:20" ht="21.75" customHeight="1" thickBot="1">
      <c r="A12" s="28"/>
      <c r="B12" s="28"/>
      <c r="C12" s="24"/>
      <c r="D12" s="18"/>
      <c r="E12" s="24"/>
      <c r="F12" s="93">
        <f>SUM(F8:F11)</f>
        <v>1325565096051</v>
      </c>
      <c r="G12" s="80"/>
      <c r="H12" s="91">
        <f>SUM(H8:H11)</f>
        <v>100.00000000000001</v>
      </c>
      <c r="I12" s="96"/>
      <c r="J12" s="91">
        <f>SUM(J8:J11)</f>
        <v>42.793810949105747</v>
      </c>
      <c r="K12" s="33" t="e">
        <f>SUM(K8:K11)</f>
        <v>#REF!</v>
      </c>
      <c r="L12" s="32" t="e">
        <f>SUM(L8:L11)</f>
        <v>#REF!</v>
      </c>
      <c r="M12" s="22" t="e">
        <f>SUM(M8:M11)</f>
        <v>#REF!</v>
      </c>
      <c r="N12" s="32"/>
    </row>
    <row r="13" spans="1:20" ht="19.5" thickTop="1">
      <c r="F13" s="32"/>
      <c r="M13" s="22"/>
    </row>
    <row r="14" spans="1:20" ht="18.75">
      <c r="F14" s="33"/>
      <c r="K14" s="32">
        <v>356528053029</v>
      </c>
      <c r="L14" s="32"/>
      <c r="M14" s="22">
        <v>-39899696555</v>
      </c>
      <c r="N14" s="32"/>
    </row>
    <row r="15" spans="1:20">
      <c r="F15" s="33"/>
      <c r="K15" s="33" t="e">
        <f>K12-K14</f>
        <v>#REF!</v>
      </c>
      <c r="L15" s="32"/>
      <c r="M15" s="33" t="e">
        <f>M12-M14</f>
        <v>#REF!</v>
      </c>
      <c r="N15" s="32"/>
    </row>
    <row r="16" spans="1:20">
      <c r="F16" s="33"/>
      <c r="N16" s="32"/>
    </row>
    <row r="32" ht="15.75" customHeight="1"/>
  </sheetData>
  <mergeCells count="9">
    <mergeCell ref="A8:B8"/>
    <mergeCell ref="A9:B9"/>
    <mergeCell ref="A10:B10"/>
    <mergeCell ref="A11:B11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E2C99-9987-4441-80ED-6C58E576C23D}">
  <dimension ref="A1:U62"/>
  <sheetViews>
    <sheetView rightToLeft="1" view="pageBreakPreview" topLeftCell="A43" zoomScaleNormal="100" zoomScaleSheetLayoutView="100" workbookViewId="0">
      <selection activeCell="G73" sqref="G73"/>
    </sheetView>
  </sheetViews>
  <sheetFormatPr defaultRowHeight="12.75"/>
  <cols>
    <col min="1" max="1" width="34" style="48" customWidth="1"/>
    <col min="2" max="2" width="1.28515625" style="48" customWidth="1"/>
    <col min="3" max="3" width="15.7109375" style="53" bestFit="1" customWidth="1"/>
    <col min="4" max="4" width="1.28515625" style="53" customWidth="1"/>
    <col min="5" max="5" width="17.5703125" style="53" bestFit="1" customWidth="1"/>
    <col min="6" max="6" width="1.28515625" style="53" customWidth="1"/>
    <col min="7" max="7" width="19.42578125" style="53" bestFit="1" customWidth="1"/>
    <col min="8" max="8" width="1.28515625" style="53" customWidth="1"/>
    <col min="9" max="9" width="17.7109375" style="53" bestFit="1" customWidth="1"/>
    <col min="10" max="10" width="1.28515625" style="53" customWidth="1"/>
    <col min="11" max="11" width="17.5703125" style="53" bestFit="1" customWidth="1"/>
    <col min="12" max="12" width="1.28515625" style="53" customWidth="1"/>
    <col min="13" max="13" width="15.85546875" style="53" bestFit="1" customWidth="1"/>
    <col min="14" max="14" width="1.28515625" style="53" customWidth="1"/>
    <col min="15" max="15" width="17.5703125" style="53" bestFit="1" customWidth="1"/>
    <col min="16" max="16" width="1.28515625" style="53" customWidth="1"/>
    <col min="17" max="17" width="17.5703125" style="53" bestFit="1" customWidth="1"/>
    <col min="18" max="18" width="1.28515625" style="53" customWidth="1"/>
    <col min="19" max="19" width="18.28515625" style="53" bestFit="1" customWidth="1"/>
    <col min="20" max="20" width="1.28515625" style="53" customWidth="1"/>
    <col min="21" max="21" width="17.42578125" style="53" bestFit="1" customWidth="1"/>
    <col min="22" max="16384" width="9.140625" style="48"/>
  </cols>
  <sheetData>
    <row r="1" spans="1:21" ht="29.1" customHeight="1">
      <c r="A1" s="133" t="str">
        <f>سهام!A1</f>
        <v>صندوق حفظ ارزش دماوند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</row>
    <row r="2" spans="1:21" ht="21.75" customHeight="1">
      <c r="A2" s="133" t="s">
        <v>49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</row>
    <row r="3" spans="1:21" ht="21.75" customHeight="1">
      <c r="A3" s="133" t="str">
        <f>سهام!A3</f>
        <v>‫برای ماه منتهی به 31 مرداد ماه 1405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</row>
    <row r="4" spans="1:21" ht="14.45" customHeight="1"/>
    <row r="5" spans="1:21" ht="14.45" customHeight="1">
      <c r="A5" s="142" t="s">
        <v>113</v>
      </c>
      <c r="B5" s="142"/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</row>
    <row r="6" spans="1:21" ht="14.45" customHeight="1">
      <c r="C6" s="136" t="s">
        <v>64</v>
      </c>
      <c r="D6" s="136"/>
      <c r="E6" s="136"/>
      <c r="F6" s="136"/>
      <c r="G6" s="136"/>
      <c r="H6" s="136"/>
      <c r="I6" s="136"/>
      <c r="J6" s="136"/>
      <c r="K6" s="136"/>
      <c r="M6" s="136" t="s">
        <v>65</v>
      </c>
      <c r="N6" s="136"/>
      <c r="O6" s="136"/>
      <c r="P6" s="136"/>
      <c r="Q6" s="136"/>
      <c r="R6" s="136"/>
      <c r="S6" s="136"/>
      <c r="T6" s="136"/>
      <c r="U6" s="136"/>
    </row>
    <row r="7" spans="1:21" ht="14.45" customHeight="1">
      <c r="C7" s="62"/>
      <c r="D7" s="62"/>
      <c r="E7" s="62"/>
      <c r="F7" s="62"/>
      <c r="G7" s="62"/>
      <c r="H7" s="62"/>
      <c r="I7" s="141" t="s">
        <v>26</v>
      </c>
      <c r="J7" s="141"/>
      <c r="K7" s="141"/>
      <c r="M7" s="62"/>
      <c r="N7" s="62"/>
      <c r="O7" s="62"/>
      <c r="P7" s="62"/>
      <c r="Q7" s="62"/>
      <c r="R7" s="62"/>
      <c r="S7" s="141" t="s">
        <v>26</v>
      </c>
      <c r="T7" s="141"/>
      <c r="U7" s="141"/>
    </row>
    <row r="8" spans="1:21" ht="14.45" customHeight="1">
      <c r="A8" s="63" t="s">
        <v>66</v>
      </c>
      <c r="B8" s="61"/>
      <c r="C8" s="51" t="s">
        <v>67</v>
      </c>
      <c r="E8" s="51" t="s">
        <v>68</v>
      </c>
      <c r="G8" s="51" t="s">
        <v>69</v>
      </c>
      <c r="I8" s="50" t="s">
        <v>46</v>
      </c>
      <c r="J8" s="62"/>
      <c r="K8" s="50" t="s">
        <v>54</v>
      </c>
      <c r="M8" s="51" t="s">
        <v>67</v>
      </c>
      <c r="O8" s="51" t="s">
        <v>68</v>
      </c>
      <c r="Q8" s="51" t="s">
        <v>69</v>
      </c>
      <c r="S8" s="50" t="s">
        <v>46</v>
      </c>
      <c r="T8" s="62"/>
      <c r="U8" s="50" t="s">
        <v>54</v>
      </c>
    </row>
    <row r="9" spans="1:21" ht="18.75">
      <c r="A9" s="54" t="s">
        <v>19</v>
      </c>
      <c r="C9" s="104">
        <f>IFERROR(VLOOKUP(A9,'درآمد سود سهام'!A:S,9,0),0)</f>
        <v>0</v>
      </c>
      <c r="E9" s="104">
        <f>IFERROR(VLOOKUP(A9,'درآمد ناشی از تغییر قیمت اوراق'!A:Q,9,0),0)</f>
        <v>0</v>
      </c>
      <c r="G9" s="104">
        <f>IFERROR(VLOOKUP(A9,'درآمد ناشی از فروش'!A:Q,9,0),0)</f>
        <v>0</v>
      </c>
      <c r="I9" s="104">
        <f>C9+E9+G9</f>
        <v>0</v>
      </c>
      <c r="K9" s="60">
        <f>I9/513110661316*100</f>
        <v>0</v>
      </c>
      <c r="M9" s="104">
        <f>IFERROR(VLOOKUP(A9,'درآمد سود سهام'!A:S,15,0),0)</f>
        <v>0</v>
      </c>
      <c r="O9" s="104">
        <f>IFERROR(VLOOKUP(A9,'درآمد ناشی از تغییر قیمت اوراق'!A:Q,17,0),0)</f>
        <v>0</v>
      </c>
      <c r="Q9" s="104">
        <f>IFERROR(VLOOKUP(A9,'درآمد ناشی از فروش'!A:Q,17,0),0)</f>
        <v>22933216025</v>
      </c>
      <c r="S9" s="104">
        <f>M9+O9+Q9</f>
        <v>22933216025</v>
      </c>
      <c r="U9" s="60">
        <f>S9/درآمد!$F$12*100</f>
        <v>1.7300709028413994</v>
      </c>
    </row>
    <row r="10" spans="1:21" ht="18.75">
      <c r="A10" s="54" t="s">
        <v>16</v>
      </c>
      <c r="C10" s="104">
        <f>IFERROR(VLOOKUP(A10,'درآمد سود سهام'!A:S,9,0),0)</f>
        <v>0</v>
      </c>
      <c r="E10" s="104">
        <f>IFERROR(VLOOKUP(A10,'درآمد ناشی از تغییر قیمت اوراق'!A:Q,9,0),0)</f>
        <v>0</v>
      </c>
      <c r="G10" s="104">
        <f>IFERROR(VLOOKUP(A10,'درآمد ناشی از فروش'!A:Q,9,0),0)</f>
        <v>0</v>
      </c>
      <c r="I10" s="104">
        <f t="shared" ref="I10:I53" si="0">C10+E10+G10</f>
        <v>0</v>
      </c>
      <c r="K10" s="60">
        <f t="shared" ref="K10:K53" si="1">I10/513110661316*100</f>
        <v>0</v>
      </c>
      <c r="M10" s="104">
        <f>IFERROR(VLOOKUP(A10,'درآمد سود سهام'!A:S,15,0),0)</f>
        <v>0</v>
      </c>
      <c r="O10" s="104">
        <f>IFERROR(VLOOKUP(A10,'درآمد ناشی از تغییر قیمت اوراق'!A:Q,17,0),0)</f>
        <v>0</v>
      </c>
      <c r="Q10" s="104">
        <f>IFERROR(VLOOKUP(A10,'درآمد ناشی از فروش'!A:Q,17,0),0)</f>
        <v>15517834</v>
      </c>
      <c r="S10" s="104">
        <f t="shared" ref="S10:S53" si="2">M10+O10+Q10</f>
        <v>15517834</v>
      </c>
      <c r="U10" s="60">
        <f>S10/درآمد!$F$12*100</f>
        <v>1.1706580119097347E-3</v>
      </c>
    </row>
    <row r="11" spans="1:21" ht="18.75">
      <c r="A11" s="54" t="s">
        <v>25</v>
      </c>
      <c r="C11" s="104">
        <f>IFERROR(VLOOKUP(A11,'درآمد سود سهام'!A:S,9,0),0)</f>
        <v>0</v>
      </c>
      <c r="E11" s="104">
        <f>IFERROR(VLOOKUP(A11,'درآمد ناشی از تغییر قیمت اوراق'!A:Q,9,0),0)</f>
        <v>0</v>
      </c>
      <c r="G11" s="104">
        <f>IFERROR(VLOOKUP(A11,'درآمد ناشی از فروش'!A:Q,9,0),0)</f>
        <v>0</v>
      </c>
      <c r="I11" s="104">
        <f t="shared" si="0"/>
        <v>0</v>
      </c>
      <c r="K11" s="60">
        <f t="shared" si="1"/>
        <v>0</v>
      </c>
      <c r="M11" s="104">
        <f>IFERROR(VLOOKUP(A11,'درآمد سود سهام'!A:S,15,0),0)</f>
        <v>0</v>
      </c>
      <c r="O11" s="104">
        <f>IFERROR(VLOOKUP(A11,'درآمد ناشی از تغییر قیمت اوراق'!A:Q,17,0),0)</f>
        <v>0</v>
      </c>
      <c r="Q11" s="104">
        <f>IFERROR(VLOOKUP(A11,'درآمد ناشی از فروش'!A:Q,17,0),0)</f>
        <v>1393595470</v>
      </c>
      <c r="S11" s="104">
        <f t="shared" si="2"/>
        <v>1393595470</v>
      </c>
      <c r="U11" s="60">
        <f>S11/درآمد!$F$12*100</f>
        <v>0.10513217903456193</v>
      </c>
    </row>
    <row r="12" spans="1:21" ht="18.75">
      <c r="A12" s="54" t="s">
        <v>18</v>
      </c>
      <c r="C12" s="104">
        <f>IFERROR(VLOOKUP(A12,'درآمد سود سهام'!A:S,9,0),0)</f>
        <v>0</v>
      </c>
      <c r="E12" s="104">
        <f>IFERROR(VLOOKUP(A12,'درآمد ناشی از تغییر قیمت اوراق'!A:Q,9,0),0)</f>
        <v>0</v>
      </c>
      <c r="G12" s="104">
        <f>IFERROR(VLOOKUP(A12,'درآمد ناشی از فروش'!A:Q,9,0),0)</f>
        <v>0</v>
      </c>
      <c r="I12" s="104">
        <f t="shared" si="0"/>
        <v>0</v>
      </c>
      <c r="K12" s="60">
        <f t="shared" si="1"/>
        <v>0</v>
      </c>
      <c r="M12" s="104">
        <f>IFERROR(VLOOKUP(A12,'درآمد سود سهام'!A:S,15,0),0)</f>
        <v>0</v>
      </c>
      <c r="O12" s="104">
        <f>IFERROR(VLOOKUP(A12,'درآمد ناشی از تغییر قیمت اوراق'!A:Q,17,0),0)</f>
        <v>0</v>
      </c>
      <c r="Q12" s="104">
        <f>IFERROR(VLOOKUP(A12,'درآمد ناشی از فروش'!A:Q,17,0),0)</f>
        <v>30349765224</v>
      </c>
      <c r="S12" s="104">
        <f t="shared" si="2"/>
        <v>30349765224</v>
      </c>
      <c r="U12" s="60">
        <f>S12/درآمد!$F$12*100</f>
        <v>2.2895718448241578</v>
      </c>
    </row>
    <row r="13" spans="1:21" ht="18.75">
      <c r="A13" s="54" t="s">
        <v>23</v>
      </c>
      <c r="C13" s="104">
        <f>IFERROR(VLOOKUP(A13,'درآمد سود سهام'!A:S,9,0),0)</f>
        <v>0</v>
      </c>
      <c r="E13" s="104">
        <f>IFERROR(VLOOKUP(A13,'درآمد ناشی از تغییر قیمت اوراق'!A:Q,9,0),0)</f>
        <v>0</v>
      </c>
      <c r="G13" s="104">
        <f>IFERROR(VLOOKUP(A13,'درآمد ناشی از فروش'!A:Q,9,0),0)</f>
        <v>0</v>
      </c>
      <c r="I13" s="104">
        <f t="shared" si="0"/>
        <v>0</v>
      </c>
      <c r="K13" s="60">
        <f t="shared" si="1"/>
        <v>0</v>
      </c>
      <c r="M13" s="104">
        <f>IFERROR(VLOOKUP(A13,'درآمد سود سهام'!A:S,15,0),0)</f>
        <v>0</v>
      </c>
      <c r="O13" s="104">
        <f>IFERROR(VLOOKUP(A13,'درآمد ناشی از تغییر قیمت اوراق'!A:Q,17,0),0)</f>
        <v>0</v>
      </c>
      <c r="Q13" s="104">
        <f>IFERROR(VLOOKUP(A13,'درآمد ناشی از فروش'!A:Q,17,0),0)</f>
        <v>692436374</v>
      </c>
      <c r="S13" s="104">
        <f t="shared" si="2"/>
        <v>692436374</v>
      </c>
      <c r="U13" s="60">
        <f>S13/درآمد!$F$12*100</f>
        <v>5.2237070519044443E-2</v>
      </c>
    </row>
    <row r="14" spans="1:21" ht="18.75">
      <c r="A14" s="54" t="s">
        <v>144</v>
      </c>
      <c r="C14" s="104">
        <f>IFERROR(VLOOKUP(A14,'درآمد سود سهام'!A:S,9,0),0)</f>
        <v>0</v>
      </c>
      <c r="E14" s="104">
        <f>IFERROR(VLOOKUP(A14,'درآمد ناشی از تغییر قیمت اوراق'!A:Q,9,0),0)</f>
        <v>0</v>
      </c>
      <c r="G14" s="104">
        <f>IFERROR(VLOOKUP(A14,'درآمد ناشی از فروش'!A:Q,9,0),0)</f>
        <v>0</v>
      </c>
      <c r="I14" s="104">
        <f t="shared" si="0"/>
        <v>0</v>
      </c>
      <c r="K14" s="60">
        <f t="shared" si="1"/>
        <v>0</v>
      </c>
      <c r="M14" s="104">
        <f>IFERROR(VLOOKUP(A14,'درآمد سود سهام'!A:S,15,0),0)</f>
        <v>0</v>
      </c>
      <c r="O14" s="104">
        <f>IFERROR(VLOOKUP(A14,'درآمد ناشی از تغییر قیمت اوراق'!A:Q,17,0),0)</f>
        <v>0</v>
      </c>
      <c r="Q14" s="104">
        <f>IFERROR(VLOOKUP(A14,'درآمد ناشی از فروش'!A:Q,17,0),0)</f>
        <v>8172450482</v>
      </c>
      <c r="S14" s="104">
        <f t="shared" si="2"/>
        <v>8172450482</v>
      </c>
      <c r="U14" s="60">
        <f>S14/درآمد!$F$12*100</f>
        <v>0.61652577503335015</v>
      </c>
    </row>
    <row r="15" spans="1:21" ht="18.75">
      <c r="A15" s="54" t="s">
        <v>20</v>
      </c>
      <c r="C15" s="104">
        <f>IFERROR(VLOOKUP(A15,'درآمد سود سهام'!A:S,9,0),0)</f>
        <v>0</v>
      </c>
      <c r="E15" s="104">
        <f>IFERROR(VLOOKUP(A15,'درآمد ناشی از تغییر قیمت اوراق'!A:Q,9,0),0)</f>
        <v>0</v>
      </c>
      <c r="G15" s="104">
        <f>IFERROR(VLOOKUP(A15,'درآمد ناشی از فروش'!A:Q,9,0),0)</f>
        <v>0</v>
      </c>
      <c r="I15" s="104">
        <f t="shared" si="0"/>
        <v>0</v>
      </c>
      <c r="K15" s="60">
        <f t="shared" si="1"/>
        <v>0</v>
      </c>
      <c r="M15" s="104">
        <f>IFERROR(VLOOKUP(A15,'درآمد سود سهام'!A:S,15,0),0)</f>
        <v>0</v>
      </c>
      <c r="O15" s="104">
        <f>IFERROR(VLOOKUP(A15,'درآمد ناشی از تغییر قیمت اوراق'!A:Q,17,0),0)</f>
        <v>0</v>
      </c>
      <c r="Q15" s="104">
        <f>IFERROR(VLOOKUP(A15,'درآمد ناشی از فروش'!A:Q,17,0),0)</f>
        <v>1369358911</v>
      </c>
      <c r="S15" s="104">
        <f t="shared" si="2"/>
        <v>1369358911</v>
      </c>
      <c r="U15" s="60">
        <f>S15/درآمد!$F$12*100</f>
        <v>0.10330378455795694</v>
      </c>
    </row>
    <row r="16" spans="1:21" ht="18.75">
      <c r="A16" s="54" t="s">
        <v>12</v>
      </c>
      <c r="C16" s="104">
        <f>IFERROR(VLOOKUP(A16,'درآمد سود سهام'!A:S,9,0),0)</f>
        <v>0</v>
      </c>
      <c r="E16" s="104">
        <f>IFERROR(VLOOKUP(A16,'درآمد ناشی از تغییر قیمت اوراق'!A:Q,9,0),0)</f>
        <v>0</v>
      </c>
      <c r="G16" s="104">
        <f>IFERROR(VLOOKUP(A16,'درآمد ناشی از فروش'!A:Q,9,0),0)</f>
        <v>0</v>
      </c>
      <c r="I16" s="104">
        <f t="shared" si="0"/>
        <v>0</v>
      </c>
      <c r="K16" s="60">
        <f t="shared" si="1"/>
        <v>0</v>
      </c>
      <c r="M16" s="104">
        <f>IFERROR(VLOOKUP(A16,'درآمد سود سهام'!A:S,15,0),0)</f>
        <v>0</v>
      </c>
      <c r="O16" s="104">
        <f>IFERROR(VLOOKUP(A16,'درآمد ناشی از تغییر قیمت اوراق'!A:Q,17,0),0)</f>
        <v>0</v>
      </c>
      <c r="Q16" s="104">
        <f>IFERROR(VLOOKUP(A16,'درآمد ناشی از فروش'!A:Q,17,0),0)</f>
        <v>96944237316</v>
      </c>
      <c r="S16" s="104">
        <f t="shared" si="2"/>
        <v>96944237316</v>
      </c>
      <c r="U16" s="60">
        <f>S16/درآمد!$F$12*100</f>
        <v>7.3134271266501543</v>
      </c>
    </row>
    <row r="17" spans="1:21" ht="18.75">
      <c r="A17" s="54" t="s">
        <v>128</v>
      </c>
      <c r="C17" s="104">
        <f>IFERROR(VLOOKUP(A17,'درآمد سود سهام'!A:S,9,0),0)</f>
        <v>0</v>
      </c>
      <c r="E17" s="104">
        <f>IFERROR(VLOOKUP(A17,'درآمد ناشی از تغییر قیمت اوراق'!A:Q,9,0),0)</f>
        <v>0</v>
      </c>
      <c r="G17" s="104">
        <f>IFERROR(VLOOKUP(A17,'درآمد ناشی از فروش'!A:Q,9,0),0)</f>
        <v>0</v>
      </c>
      <c r="I17" s="104">
        <f t="shared" si="0"/>
        <v>0</v>
      </c>
      <c r="K17" s="60">
        <f t="shared" si="1"/>
        <v>0</v>
      </c>
      <c r="M17" s="104">
        <f>IFERROR(VLOOKUP(A17,'درآمد سود سهام'!A:S,15,0),0)</f>
        <v>0</v>
      </c>
      <c r="O17" s="104">
        <f>IFERROR(VLOOKUP(A17,'درآمد ناشی از تغییر قیمت اوراق'!A:Q,17,0),0)</f>
        <v>0</v>
      </c>
      <c r="Q17" s="104">
        <f>IFERROR(VLOOKUP(A17,'درآمد ناشی از فروش'!A:Q,17,0),0)</f>
        <v>13895935485</v>
      </c>
      <c r="S17" s="104">
        <f t="shared" si="2"/>
        <v>13895935485</v>
      </c>
      <c r="U17" s="60">
        <f>S17/درآمد!$F$12*100</f>
        <v>1.0483027598114552</v>
      </c>
    </row>
    <row r="18" spans="1:21" ht="18.75">
      <c r="A18" s="54" t="s">
        <v>148</v>
      </c>
      <c r="C18" s="104">
        <f>IFERROR(VLOOKUP(A18,'درآمد سود سهام'!A:S,9,0),0)</f>
        <v>0</v>
      </c>
      <c r="E18" s="104">
        <f>IFERROR(VLOOKUP(A18,'درآمد ناشی از تغییر قیمت اوراق'!A:Q,9,0),0)</f>
        <v>0</v>
      </c>
      <c r="G18" s="104">
        <f>IFERROR(VLOOKUP(A18,'درآمد ناشی از فروش'!A:Q,9,0),0)</f>
        <v>0</v>
      </c>
      <c r="I18" s="104">
        <f t="shared" si="0"/>
        <v>0</v>
      </c>
      <c r="K18" s="60">
        <f t="shared" si="1"/>
        <v>0</v>
      </c>
      <c r="M18" s="104">
        <f>IFERROR(VLOOKUP(A18,'درآمد سود سهام'!A:S,15,0),0)</f>
        <v>0</v>
      </c>
      <c r="O18" s="104">
        <f>IFERROR(VLOOKUP(A18,'درآمد ناشی از تغییر قیمت اوراق'!A:Q,17,0),0)</f>
        <v>0</v>
      </c>
      <c r="Q18" s="104">
        <f>IFERROR(VLOOKUP(A18,'درآمد ناشی از فروش'!A:Q,17,0),0)</f>
        <v>7881823039</v>
      </c>
      <c r="S18" s="104">
        <f t="shared" si="2"/>
        <v>7881823039</v>
      </c>
      <c r="U18" s="60">
        <f>S18/درآمد!$F$12*100</f>
        <v>0.59460097904514786</v>
      </c>
    </row>
    <row r="19" spans="1:21" ht="18.75">
      <c r="A19" s="54" t="s">
        <v>141</v>
      </c>
      <c r="C19" s="104">
        <f>IFERROR(VLOOKUP(A19,'درآمد سود سهام'!A:S,9,0),0)</f>
        <v>0</v>
      </c>
      <c r="E19" s="104">
        <f>IFERROR(VLOOKUP(A19,'درآمد ناشی از تغییر قیمت اوراق'!A:Q,9,0),0)</f>
        <v>0</v>
      </c>
      <c r="G19" s="104">
        <f>IFERROR(VLOOKUP(A19,'درآمد ناشی از فروش'!A:Q,9,0),0)</f>
        <v>0</v>
      </c>
      <c r="I19" s="104">
        <f t="shared" si="0"/>
        <v>0</v>
      </c>
      <c r="K19" s="60">
        <f t="shared" si="1"/>
        <v>0</v>
      </c>
      <c r="M19" s="104">
        <f>IFERROR(VLOOKUP(A19,'درآمد سود سهام'!A:S,15,0),0)</f>
        <v>0</v>
      </c>
      <c r="O19" s="104">
        <f>IFERROR(VLOOKUP(A19,'درآمد ناشی از تغییر قیمت اوراق'!A:Q,17,0),0)</f>
        <v>0</v>
      </c>
      <c r="Q19" s="104">
        <f>IFERROR(VLOOKUP(A19,'درآمد ناشی از فروش'!A:Q,17,0),0)</f>
        <v>5650066390</v>
      </c>
      <c r="S19" s="104">
        <f t="shared" si="2"/>
        <v>5650066390</v>
      </c>
      <c r="U19" s="60">
        <f>S19/درآمد!$F$12*100</f>
        <v>0.42623831955383795</v>
      </c>
    </row>
    <row r="20" spans="1:21" ht="18.75">
      <c r="A20" s="54" t="s">
        <v>147</v>
      </c>
      <c r="C20" s="104">
        <f>IFERROR(VLOOKUP(A20,'درآمد سود سهام'!A:S,9,0),0)</f>
        <v>0</v>
      </c>
      <c r="E20" s="104">
        <f>IFERROR(VLOOKUP(A20,'درآمد ناشی از تغییر قیمت اوراق'!A:Q,9,0),0)</f>
        <v>0</v>
      </c>
      <c r="G20" s="104">
        <f>IFERROR(VLOOKUP(A20,'درآمد ناشی از فروش'!A:Q,9,0),0)</f>
        <v>0</v>
      </c>
      <c r="I20" s="104">
        <f t="shared" si="0"/>
        <v>0</v>
      </c>
      <c r="K20" s="60">
        <f t="shared" si="1"/>
        <v>0</v>
      </c>
      <c r="M20" s="104">
        <f>IFERROR(VLOOKUP(A20,'درآمد سود سهام'!A:S,15,0),0)</f>
        <v>0</v>
      </c>
      <c r="O20" s="104">
        <f>IFERROR(VLOOKUP(A20,'درآمد ناشی از تغییر قیمت اوراق'!A:Q,17,0),0)</f>
        <v>0</v>
      </c>
      <c r="Q20" s="104">
        <f>IFERROR(VLOOKUP(A20,'درآمد ناشی از فروش'!A:Q,17,0),0)</f>
        <v>993746334</v>
      </c>
      <c r="S20" s="104">
        <f t="shared" si="2"/>
        <v>993746334</v>
      </c>
      <c r="U20" s="60">
        <f>S20/درآمد!$F$12*100</f>
        <v>7.4967750505839093E-2</v>
      </c>
    </row>
    <row r="21" spans="1:21" ht="18.75">
      <c r="A21" s="54" t="s">
        <v>158</v>
      </c>
      <c r="C21" s="104">
        <f>IFERROR(VLOOKUP(A21,'درآمد سود سهام'!A:S,9,0),0)</f>
        <v>4200000000</v>
      </c>
      <c r="E21" s="104">
        <f>IFERROR(VLOOKUP(A21,'درآمد ناشی از تغییر قیمت اوراق'!A:Q,9,0),0)</f>
        <v>8279500880</v>
      </c>
      <c r="G21" s="104">
        <f>IFERROR(VLOOKUP(A21,'درآمد ناشی از فروش'!A:Q,9,0),0)</f>
        <v>0</v>
      </c>
      <c r="I21" s="104">
        <f t="shared" si="0"/>
        <v>12479500880</v>
      </c>
      <c r="K21" s="60">
        <f t="shared" si="1"/>
        <v>2.4321265997461863</v>
      </c>
      <c r="M21" s="104">
        <f>IFERROR(VLOOKUP(A21,'درآمد سود سهام'!A:S,15,0),0)</f>
        <v>4200000000</v>
      </c>
      <c r="O21" s="104">
        <f>IFERROR(VLOOKUP(A21,'درآمد ناشی از تغییر قیمت اوراق'!A:Q,17,0),0)</f>
        <v>24859064079</v>
      </c>
      <c r="Q21" s="104">
        <f>IFERROR(VLOOKUP(A21,'درآمد ناشی از فروش'!A:Q,17,0),0)</f>
        <v>0</v>
      </c>
      <c r="S21" s="104">
        <f t="shared" si="2"/>
        <v>29059064079</v>
      </c>
      <c r="U21" s="60">
        <f>S21/درآمد!$F$12*100</f>
        <v>2.1922019646994371</v>
      </c>
    </row>
    <row r="22" spans="1:21" ht="18.75">
      <c r="A22" s="54" t="s">
        <v>11</v>
      </c>
      <c r="C22" s="104">
        <f>IFERROR(VLOOKUP(A22,'درآمد سود سهام'!A:S,9,0),0)</f>
        <v>0</v>
      </c>
      <c r="E22" s="104">
        <f>IFERROR(VLOOKUP(A22,'درآمد ناشی از تغییر قیمت اوراق'!A:Q,9,0),0)</f>
        <v>13008659700</v>
      </c>
      <c r="G22" s="104">
        <f>IFERROR(VLOOKUP(A22,'درآمد ناشی از فروش'!A:Q,9,0),0)</f>
        <v>0</v>
      </c>
      <c r="I22" s="104">
        <f t="shared" si="0"/>
        <v>13008659700</v>
      </c>
      <c r="K22" s="60">
        <f t="shared" si="1"/>
        <v>2.535254221114029</v>
      </c>
      <c r="M22" s="104">
        <f>IFERROR(VLOOKUP(A22,'درآمد سود سهام'!A:S,15,0),0)</f>
        <v>0</v>
      </c>
      <c r="O22" s="104">
        <f>IFERROR(VLOOKUP(A22,'درآمد ناشی از تغییر قیمت اوراق'!A:Q,17,0),0)</f>
        <v>14466946177</v>
      </c>
      <c r="Q22" s="104">
        <f>IFERROR(VLOOKUP(A22,'درآمد ناشی از فروش'!A:Q,17,0),0)</f>
        <v>25017509412</v>
      </c>
      <c r="S22" s="104">
        <f t="shared" si="2"/>
        <v>39484455589</v>
      </c>
      <c r="U22" s="60">
        <f>S22/درآمد!$F$12*100</f>
        <v>2.9786885386940565</v>
      </c>
    </row>
    <row r="23" spans="1:21" ht="18.75">
      <c r="A23" s="54" t="s">
        <v>155</v>
      </c>
      <c r="C23" s="104">
        <f>IFERROR(VLOOKUP(A23,'درآمد سود سهام'!A:S,9,0),0)</f>
        <v>0</v>
      </c>
      <c r="E23" s="104">
        <f>IFERROR(VLOOKUP(A23,'درآمد ناشی از تغییر قیمت اوراق'!A:Q,9,0),0)</f>
        <v>0</v>
      </c>
      <c r="G23" s="104">
        <f>IFERROR(VLOOKUP(A23,'درآمد ناشی از فروش'!A:Q,9,0),0)</f>
        <v>0</v>
      </c>
      <c r="I23" s="104">
        <f t="shared" si="0"/>
        <v>0</v>
      </c>
      <c r="K23" s="60">
        <f t="shared" si="1"/>
        <v>0</v>
      </c>
      <c r="M23" s="104">
        <f>IFERROR(VLOOKUP(A23,'درآمد سود سهام'!A:S,15,0),0)</f>
        <v>3570000000</v>
      </c>
      <c r="O23" s="104">
        <f>IFERROR(VLOOKUP(A23,'درآمد ناشی از تغییر قیمت اوراق'!A:Q,17,0),0)</f>
        <v>-3307846497</v>
      </c>
      <c r="Q23" s="104">
        <f>IFERROR(VLOOKUP(A23,'درآمد ناشی از فروش'!A:Q,17,0),0)</f>
        <v>0</v>
      </c>
      <c r="S23" s="104">
        <f t="shared" si="2"/>
        <v>262153503</v>
      </c>
      <c r="U23" s="60">
        <f>S23/درآمد!$F$12*100</f>
        <v>1.9776735505557839E-2</v>
      </c>
    </row>
    <row r="24" spans="1:21" ht="18.75">
      <c r="A24" s="54" t="s">
        <v>153</v>
      </c>
      <c r="C24" s="104">
        <f>IFERROR(VLOOKUP(A24,'درآمد سود سهام'!A:S,9,0),0)</f>
        <v>0</v>
      </c>
      <c r="E24" s="104">
        <f>IFERROR(VLOOKUP(A24,'درآمد ناشی از تغییر قیمت اوراق'!A:Q,9,0),0)</f>
        <v>9957022588</v>
      </c>
      <c r="G24" s="104">
        <f>IFERROR(VLOOKUP(A24,'درآمد ناشی از فروش'!A:Q,9,0),0)</f>
        <v>0</v>
      </c>
      <c r="I24" s="104">
        <f t="shared" si="0"/>
        <v>9957022588</v>
      </c>
      <c r="K24" s="60">
        <f t="shared" si="1"/>
        <v>1.9405214778548427</v>
      </c>
      <c r="M24" s="104">
        <f>IFERROR(VLOOKUP(A24,'درآمد سود سهام'!A:S,15,0),0)</f>
        <v>0</v>
      </c>
      <c r="O24" s="104">
        <f>IFERROR(VLOOKUP(A24,'درآمد ناشی از تغییر قیمت اوراق'!A:Q,17,0),0)</f>
        <v>5570113800</v>
      </c>
      <c r="Q24" s="104">
        <f>IFERROR(VLOOKUP(A24,'درآمد ناشی از فروش'!A:Q,17,0),0)</f>
        <v>0</v>
      </c>
      <c r="S24" s="104">
        <f t="shared" si="2"/>
        <v>5570113800</v>
      </c>
      <c r="U24" s="60">
        <f>S24/درآمد!$F$12*100</f>
        <v>0.42020673421425803</v>
      </c>
    </row>
    <row r="25" spans="1:21" ht="18.75">
      <c r="A25" s="54" t="s">
        <v>24</v>
      </c>
      <c r="C25" s="104">
        <f>IFERROR(VLOOKUP(A25,'درآمد سود سهام'!A:S,9,0),0)</f>
        <v>1272856950</v>
      </c>
      <c r="E25" s="104">
        <f>IFERROR(VLOOKUP(A25,'درآمد ناشی از تغییر قیمت اوراق'!A:Q,9,0),0)</f>
        <v>26050315822</v>
      </c>
      <c r="G25" s="104">
        <f>IFERROR(VLOOKUP(A25,'درآمد ناشی از فروش'!A:Q,9,0),0)</f>
        <v>-13579</v>
      </c>
      <c r="I25" s="104">
        <f t="shared" si="0"/>
        <v>27323159193</v>
      </c>
      <c r="K25" s="60">
        <f t="shared" si="1"/>
        <v>5.3250032113780215</v>
      </c>
      <c r="M25" s="104">
        <f>IFERROR(VLOOKUP(A25,'درآمد سود سهام'!A:S,15,0),0)</f>
        <v>1272856950</v>
      </c>
      <c r="O25" s="104">
        <f>IFERROR(VLOOKUP(A25,'درآمد ناشی از تغییر قیمت اوراق'!A:Q,17,0),0)</f>
        <v>33647450673</v>
      </c>
      <c r="Q25" s="104">
        <f>IFERROR(VLOOKUP(A25,'درآمد ناشی از فروش'!A:Q,17,0),0)</f>
        <v>-13579</v>
      </c>
      <c r="S25" s="104">
        <f t="shared" si="2"/>
        <v>34920294044</v>
      </c>
      <c r="U25" s="60">
        <f>S25/درآمد!$F$12*100</f>
        <v>2.6343703638569909</v>
      </c>
    </row>
    <row r="26" spans="1:21" ht="18.75">
      <c r="A26" s="54" t="s">
        <v>142</v>
      </c>
      <c r="C26" s="104">
        <f>IFERROR(VLOOKUP(A26,'درآمد سود سهام'!A:S,9,0),0)</f>
        <v>0</v>
      </c>
      <c r="E26" s="104">
        <f>IFERROR(VLOOKUP(A26,'درآمد ناشی از تغییر قیمت اوراق'!A:Q,9,0),0)</f>
        <v>23764866500</v>
      </c>
      <c r="G26" s="104">
        <f>IFERROR(VLOOKUP(A26,'درآمد ناشی از فروش'!A:Q,9,0),0)</f>
        <v>0</v>
      </c>
      <c r="I26" s="104">
        <f t="shared" si="0"/>
        <v>23764866500</v>
      </c>
      <c r="K26" s="60">
        <f t="shared" si="1"/>
        <v>4.631528497000839</v>
      </c>
      <c r="M26" s="104">
        <f>IFERROR(VLOOKUP(A26,'درآمد سود سهام'!A:S,15,0),0)</f>
        <v>4650000000</v>
      </c>
      <c r="O26" s="104">
        <f>IFERROR(VLOOKUP(A26,'درآمد ناشی از تغییر قیمت اوراق'!A:Q,17,0),0)</f>
        <v>37869300862</v>
      </c>
      <c r="Q26" s="104">
        <f>IFERROR(VLOOKUP(A26,'درآمد ناشی از فروش'!A:Q,17,0),0)</f>
        <v>0</v>
      </c>
      <c r="S26" s="104">
        <f t="shared" si="2"/>
        <v>42519300862</v>
      </c>
      <c r="U26" s="60">
        <f>S26/درآمد!$F$12*100</f>
        <v>3.2076358217841987</v>
      </c>
    </row>
    <row r="27" spans="1:21" ht="18.75">
      <c r="A27" s="54" t="s">
        <v>15</v>
      </c>
      <c r="C27" s="104">
        <f>IFERROR(VLOOKUP(A27,'درآمد سود سهام'!A:S,9,0),0)</f>
        <v>0</v>
      </c>
      <c r="E27" s="104">
        <f>IFERROR(VLOOKUP(A27,'درآمد ناشی از تغییر قیمت اوراق'!A:Q,9,0),0)</f>
        <v>46041328000</v>
      </c>
      <c r="G27" s="104">
        <f>IFERROR(VLOOKUP(A27,'درآمد ناشی از فروش'!A:Q,9,0),0)</f>
        <v>0</v>
      </c>
      <c r="I27" s="104">
        <f t="shared" si="0"/>
        <v>46041328000</v>
      </c>
      <c r="K27" s="60">
        <f t="shared" si="1"/>
        <v>8.9729821403273036</v>
      </c>
      <c r="M27" s="104">
        <f>IFERROR(VLOOKUP(A27,'درآمد سود سهام'!A:S,15,0),0)</f>
        <v>14800000000</v>
      </c>
      <c r="O27" s="104">
        <f>IFERROR(VLOOKUP(A27,'درآمد ناشی از تغییر قیمت اوراق'!A:Q,17,0),0)</f>
        <v>133640288645</v>
      </c>
      <c r="Q27" s="104">
        <f>IFERROR(VLOOKUP(A27,'درآمد ناشی از فروش'!A:Q,17,0),0)</f>
        <v>22642787934</v>
      </c>
      <c r="S27" s="104">
        <f t="shared" si="2"/>
        <v>171083076579</v>
      </c>
      <c r="U27" s="60">
        <f>S27/درآمد!$F$12*100</f>
        <v>12.906425877437083</v>
      </c>
    </row>
    <row r="28" spans="1:21" ht="18.75">
      <c r="A28" s="54" t="s">
        <v>146</v>
      </c>
      <c r="C28" s="104">
        <f>IFERROR(VLOOKUP(A28,'درآمد سود سهام'!A:S,9,0),0)</f>
        <v>0</v>
      </c>
      <c r="E28" s="104">
        <f>IFERROR(VLOOKUP(A28,'درآمد ناشی از تغییر قیمت اوراق'!A:Q,9,0),0)</f>
        <v>-262951550</v>
      </c>
      <c r="G28" s="104">
        <f>IFERROR(VLOOKUP(A28,'درآمد ناشی از فروش'!A:Q,9,0),0)</f>
        <v>0</v>
      </c>
      <c r="I28" s="104">
        <f t="shared" si="0"/>
        <v>-262951550</v>
      </c>
      <c r="K28" s="60">
        <f t="shared" si="1"/>
        <v>-5.1246557482472747E-2</v>
      </c>
      <c r="M28" s="104">
        <f>IFERROR(VLOOKUP(A28,'درآمد سود سهام'!A:S,15,0),0)</f>
        <v>3464000000</v>
      </c>
      <c r="O28" s="104">
        <f>IFERROR(VLOOKUP(A28,'درآمد ناشی از تغییر قیمت اوراق'!A:Q,17,0),0)</f>
        <v>6505322120</v>
      </c>
      <c r="Q28" s="104">
        <f>IFERROR(VLOOKUP(A28,'درآمد ناشی از فروش'!A:Q,17,0),0)</f>
        <v>0</v>
      </c>
      <c r="S28" s="104">
        <f t="shared" si="2"/>
        <v>9969322120</v>
      </c>
      <c r="U28" s="60">
        <f>S28/درآمد!$F$12*100</f>
        <v>0.75208091625976536</v>
      </c>
    </row>
    <row r="29" spans="1:21" ht="18.75">
      <c r="A29" s="54" t="s">
        <v>150</v>
      </c>
      <c r="C29" s="104">
        <f>IFERROR(VLOOKUP(A29,'درآمد سود سهام'!A:S,9,0),0)</f>
        <v>0</v>
      </c>
      <c r="E29" s="104">
        <f>IFERROR(VLOOKUP(A29,'درآمد ناشی از تغییر قیمت اوراق'!A:Q,9,0),0)</f>
        <v>8565598150</v>
      </c>
      <c r="G29" s="104">
        <f>IFERROR(VLOOKUP(A29,'درآمد ناشی از فروش'!A:Q,9,0),0)</f>
        <v>0</v>
      </c>
      <c r="I29" s="104">
        <f t="shared" si="0"/>
        <v>8565598150</v>
      </c>
      <c r="K29" s="60">
        <f t="shared" si="1"/>
        <v>1.6693471400557907</v>
      </c>
      <c r="M29" s="104">
        <f>IFERROR(VLOOKUP(A29,'درآمد سود سهام'!A:S,15,0),0)</f>
        <v>3248724850</v>
      </c>
      <c r="O29" s="104">
        <f>IFERROR(VLOOKUP(A29,'درآمد ناشی از تغییر قیمت اوراق'!A:Q,17,0),0)</f>
        <v>10208919745</v>
      </c>
      <c r="Q29" s="104">
        <f>IFERROR(VLOOKUP(A29,'درآمد ناشی از فروش'!A:Q,17,0),0)</f>
        <v>0</v>
      </c>
      <c r="S29" s="104">
        <f t="shared" si="2"/>
        <v>13457644595</v>
      </c>
      <c r="U29" s="60">
        <f>S29/درآمد!$F$12*100</f>
        <v>1.0152383036556831</v>
      </c>
    </row>
    <row r="30" spans="1:21" ht="18.75">
      <c r="A30" s="54" t="s">
        <v>168</v>
      </c>
      <c r="C30" s="104">
        <f>IFERROR(VLOOKUP(A30,'درآمد سود سهام'!A:S,9,0),0)</f>
        <v>0</v>
      </c>
      <c r="E30" s="104">
        <f>IFERROR(VLOOKUP(A30,'درآمد ناشی از تغییر قیمت اوراق'!A:Q,9,0),0)</f>
        <v>-250052040</v>
      </c>
      <c r="G30" s="104">
        <f>IFERROR(VLOOKUP(A30,'درآمد ناشی از فروش'!A:Q,9,0),0)</f>
        <v>0</v>
      </c>
      <c r="I30" s="104">
        <f t="shared" si="0"/>
        <v>-250052040</v>
      </c>
      <c r="K30" s="60">
        <f t="shared" si="1"/>
        <v>-4.8732575417294845E-2</v>
      </c>
      <c r="M30" s="104">
        <f>IFERROR(VLOOKUP(A30,'درآمد سود سهام'!A:S,15,0),0)</f>
        <v>0</v>
      </c>
      <c r="O30" s="104">
        <f>IFERROR(VLOOKUP(A30,'درآمد ناشی از تغییر قیمت اوراق'!A:Q,17,0),0)</f>
        <v>-282263074</v>
      </c>
      <c r="Q30" s="104">
        <f>IFERROR(VLOOKUP(A30,'درآمد ناشی از فروش'!A:Q,17,0),0)</f>
        <v>0</v>
      </c>
      <c r="S30" s="104">
        <f t="shared" si="2"/>
        <v>-282263074</v>
      </c>
      <c r="U30" s="60">
        <f>S30/درآمد!$F$12*100</f>
        <v>-2.1293791971506479E-2</v>
      </c>
    </row>
    <row r="31" spans="1:21" ht="18.75">
      <c r="A31" s="54" t="s">
        <v>170</v>
      </c>
      <c r="C31" s="104">
        <f>IFERROR(VLOOKUP(A31,'درآمد سود سهام'!A:S,9,0),0)</f>
        <v>0</v>
      </c>
      <c r="E31" s="104">
        <f>IFERROR(VLOOKUP(A31,'درآمد ناشی از تغییر قیمت اوراق'!A:Q,9,0),0)</f>
        <v>2819065117</v>
      </c>
      <c r="G31" s="104">
        <f>IFERROR(VLOOKUP(A31,'درآمد ناشی از فروش'!A:Q,9,0),0)</f>
        <v>0</v>
      </c>
      <c r="I31" s="104">
        <f t="shared" si="0"/>
        <v>2819065117</v>
      </c>
      <c r="K31" s="60">
        <f t="shared" si="1"/>
        <v>0.54940684915215088</v>
      </c>
      <c r="M31" s="104">
        <f>IFERROR(VLOOKUP(A31,'درآمد سود سهام'!A:S,15,0),0)</f>
        <v>0</v>
      </c>
      <c r="O31" s="104">
        <f>IFERROR(VLOOKUP(A31,'درآمد ناشی از تغییر قیمت اوراق'!A:Q,17,0),0)</f>
        <v>5243246637</v>
      </c>
      <c r="Q31" s="104">
        <f>IFERROR(VLOOKUP(A31,'درآمد ناشی از فروش'!A:Q,17,0),0)</f>
        <v>0</v>
      </c>
      <c r="S31" s="104">
        <f t="shared" si="2"/>
        <v>5243246637</v>
      </c>
      <c r="U31" s="60">
        <f>S31/درآمد!$F$12*100</f>
        <v>0.39554803099600255</v>
      </c>
    </row>
    <row r="32" spans="1:21" ht="18.75">
      <c r="A32" s="54" t="s">
        <v>127</v>
      </c>
      <c r="C32" s="104">
        <f>IFERROR(VLOOKUP(A32,'درآمد سود سهام'!A:S,9,0),0)</f>
        <v>0</v>
      </c>
      <c r="E32" s="104">
        <f>IFERROR(VLOOKUP(A32,'درآمد ناشی از تغییر قیمت اوراق'!A:Q,9,0),0)</f>
        <v>544913138</v>
      </c>
      <c r="G32" s="104">
        <f>IFERROR(VLOOKUP(A32,'درآمد ناشی از فروش'!A:Q,9,0),0)</f>
        <v>0</v>
      </c>
      <c r="I32" s="104">
        <f t="shared" si="0"/>
        <v>544913138</v>
      </c>
      <c r="K32" s="60">
        <f t="shared" si="1"/>
        <v>0.10619797620311272</v>
      </c>
      <c r="M32" s="104">
        <f>IFERROR(VLOOKUP(A32,'درآمد سود سهام'!A:S,15,0),0)</f>
        <v>0</v>
      </c>
      <c r="O32" s="104">
        <f>IFERROR(VLOOKUP(A32,'درآمد ناشی از تغییر قیمت اوراق'!A:Q,17,0),0)</f>
        <v>-288599209</v>
      </c>
      <c r="Q32" s="104">
        <f>IFERROR(VLOOKUP(A32,'درآمد ناشی از فروش'!A:Q,17,0),0)</f>
        <v>9776290710</v>
      </c>
      <c r="S32" s="104">
        <f t="shared" si="2"/>
        <v>9487691501</v>
      </c>
      <c r="U32" s="60">
        <f>S32/درآمد!$F$12*100</f>
        <v>0.71574693157392622</v>
      </c>
    </row>
    <row r="33" spans="1:21" ht="18.75">
      <c r="A33" s="54" t="s">
        <v>14</v>
      </c>
      <c r="C33" s="104">
        <f>IFERROR(VLOOKUP(A33,'درآمد سود سهام'!A:S,9,0),0)</f>
        <v>8393260832</v>
      </c>
      <c r="E33" s="104">
        <f>IFERROR(VLOOKUP(A33,'درآمد ناشی از تغییر قیمت اوراق'!A:Q,9,0),0)</f>
        <v>43892206085</v>
      </c>
      <c r="G33" s="104">
        <f>IFERROR(VLOOKUP(A33,'درآمد ناشی از فروش'!A:Q,9,0),0)</f>
        <v>0</v>
      </c>
      <c r="I33" s="104">
        <f t="shared" si="0"/>
        <v>52285466917</v>
      </c>
      <c r="K33" s="60">
        <f t="shared" si="1"/>
        <v>10.189900709313058</v>
      </c>
      <c r="M33" s="104">
        <f>IFERROR(VLOOKUP(A33,'درآمد سود سهام'!A:S,15,0),0)</f>
        <v>8393260832</v>
      </c>
      <c r="O33" s="104">
        <f>IFERROR(VLOOKUP(A33,'درآمد ناشی از تغییر قیمت اوراق'!A:Q,17,0),0)</f>
        <v>77024678028</v>
      </c>
      <c r="Q33" s="104">
        <f>IFERROR(VLOOKUP(A33,'درآمد ناشی از فروش'!A:Q,17,0),0)</f>
        <v>4861234864</v>
      </c>
      <c r="S33" s="104">
        <f t="shared" si="2"/>
        <v>90279173724</v>
      </c>
      <c r="U33" s="60">
        <f>S33/درآمد!$F$12*100</f>
        <v>6.8106179012219989</v>
      </c>
    </row>
    <row r="34" spans="1:21" ht="18.75">
      <c r="A34" s="54" t="s">
        <v>13</v>
      </c>
      <c r="C34" s="104">
        <f>IFERROR(VLOOKUP(A34,'درآمد سود سهام'!A:S,9,0),0)</f>
        <v>0</v>
      </c>
      <c r="E34" s="104">
        <f>IFERROR(VLOOKUP(A34,'درآمد ناشی از تغییر قیمت اوراق'!A:Q,9,0),0)</f>
        <v>16350763705</v>
      </c>
      <c r="G34" s="104">
        <f>IFERROR(VLOOKUP(A34,'درآمد ناشی از فروش'!A:Q,9,0),0)</f>
        <v>0</v>
      </c>
      <c r="I34" s="104">
        <f t="shared" si="0"/>
        <v>16350763705</v>
      </c>
      <c r="K34" s="60">
        <f t="shared" si="1"/>
        <v>3.1865959797179806</v>
      </c>
      <c r="M34" s="104">
        <f>IFERROR(VLOOKUP(A34,'درآمد سود سهام'!A:S,15,0),0)</f>
        <v>0</v>
      </c>
      <c r="O34" s="104">
        <f>IFERROR(VLOOKUP(A34,'درآمد ناشی از تغییر قیمت اوراق'!A:Q,17,0),0)</f>
        <v>15364617952</v>
      </c>
      <c r="Q34" s="104">
        <f>IFERROR(VLOOKUP(A34,'درآمد ناشی از فروش'!A:Q,17,0),0)</f>
        <v>0</v>
      </c>
      <c r="S34" s="104">
        <f t="shared" si="2"/>
        <v>15364617952</v>
      </c>
      <c r="U34" s="60">
        <f>S34/درآمد!$F$12*100</f>
        <v>1.1590994661652481</v>
      </c>
    </row>
    <row r="35" spans="1:21" ht="18.75">
      <c r="A35" s="54" t="s">
        <v>154</v>
      </c>
      <c r="C35" s="104">
        <f>IFERROR(VLOOKUP(A35,'درآمد سود سهام'!A:S,9,0),0)</f>
        <v>0</v>
      </c>
      <c r="E35" s="104">
        <f>IFERROR(VLOOKUP(A35,'درآمد ناشی از تغییر قیمت اوراق'!A:Q,9,0),0)</f>
        <v>-1936105194</v>
      </c>
      <c r="G35" s="104">
        <f>IFERROR(VLOOKUP(A35,'درآمد ناشی از فروش'!A:Q,9,0),0)</f>
        <v>0</v>
      </c>
      <c r="I35" s="104">
        <f t="shared" si="0"/>
        <v>-1936105194</v>
      </c>
      <c r="K35" s="60">
        <f t="shared" si="1"/>
        <v>-0.3773270251361327</v>
      </c>
      <c r="M35" s="104">
        <f>IFERROR(VLOOKUP(A35,'درآمد سود سهام'!A:S,15,0),0)</f>
        <v>0</v>
      </c>
      <c r="O35" s="104">
        <f>IFERROR(VLOOKUP(A35,'درآمد ناشی از تغییر قیمت اوراق'!A:Q,17,0),0)</f>
        <v>-1936105194</v>
      </c>
      <c r="Q35" s="104">
        <f>IFERROR(VLOOKUP(A35,'درآمد ناشی از فروش'!A:Q,17,0),0)</f>
        <v>2743512558</v>
      </c>
      <c r="S35" s="104">
        <f t="shared" si="2"/>
        <v>807407364</v>
      </c>
      <c r="U35" s="60">
        <f>S35/درآمد!$F$12*100</f>
        <v>6.0910427289112598E-2</v>
      </c>
    </row>
    <row r="36" spans="1:21" ht="18.75">
      <c r="A36" s="54" t="s">
        <v>152</v>
      </c>
      <c r="C36" s="104">
        <f>IFERROR(VLOOKUP(A36,'درآمد سود سهام'!A:S,9,0),0)</f>
        <v>0</v>
      </c>
      <c r="E36" s="104">
        <f>IFERROR(VLOOKUP(A36,'درآمد ناشی از تغییر قیمت اوراق'!A:Q,9,0),0)</f>
        <v>17205961800</v>
      </c>
      <c r="G36" s="104">
        <f>IFERROR(VLOOKUP(A36,'درآمد ناشی از فروش'!A:Q,9,0),0)</f>
        <v>0</v>
      </c>
      <c r="I36" s="104">
        <f t="shared" si="0"/>
        <v>17205961800</v>
      </c>
      <c r="K36" s="60">
        <f t="shared" si="1"/>
        <v>3.353265308475764</v>
      </c>
      <c r="M36" s="104">
        <f>IFERROR(VLOOKUP(A36,'درآمد سود سهام'!A:S,15,0),0)</f>
        <v>3570000000</v>
      </c>
      <c r="O36" s="104">
        <f>IFERROR(VLOOKUP(A36,'درآمد ناشی از تغییر قیمت اوراق'!A:Q,17,0),0)</f>
        <v>8053409413</v>
      </c>
      <c r="Q36" s="104">
        <f>IFERROR(VLOOKUP(A36,'درآمد ناشی از فروش'!A:Q,17,0),0)</f>
        <v>0</v>
      </c>
      <c r="S36" s="104">
        <f t="shared" si="2"/>
        <v>11623409413</v>
      </c>
      <c r="U36" s="60">
        <f>S36/درآمد!$F$12*100</f>
        <v>0.87686447445149074</v>
      </c>
    </row>
    <row r="37" spans="1:21" ht="18.75">
      <c r="A37" s="54" t="s">
        <v>149</v>
      </c>
      <c r="C37" s="104">
        <f>IFERROR(VLOOKUP(A37,'درآمد سود سهام'!A:S,9,0),0)</f>
        <v>1755000000</v>
      </c>
      <c r="E37" s="104">
        <f>IFERROR(VLOOKUP(A37,'درآمد ناشی از تغییر قیمت اوراق'!A:Q,9,0),0)</f>
        <v>1178816760</v>
      </c>
      <c r="G37" s="104">
        <f>IFERROR(VLOOKUP(A37,'درآمد ناشی از فروش'!A:Q,9,0),0)</f>
        <v>0</v>
      </c>
      <c r="I37" s="104">
        <f t="shared" si="0"/>
        <v>2933816760</v>
      </c>
      <c r="K37" s="60">
        <f t="shared" si="1"/>
        <v>0.57177076626618839</v>
      </c>
      <c r="M37" s="104">
        <f>IFERROR(VLOOKUP(A37,'درآمد سود سهام'!A:S,15,0),0)</f>
        <v>1755000000</v>
      </c>
      <c r="O37" s="104">
        <f>IFERROR(VLOOKUP(A37,'درآمد ناشی از تغییر قیمت اوراق'!A:Q,17,0),0)</f>
        <v>-4730290352</v>
      </c>
      <c r="Q37" s="104">
        <f>IFERROR(VLOOKUP(A37,'درآمد ناشی از فروش'!A:Q,17,0),0)</f>
        <v>0</v>
      </c>
      <c r="S37" s="104">
        <f t="shared" si="2"/>
        <v>-2975290352</v>
      </c>
      <c r="U37" s="60">
        <f>S37/درآمد!$F$12*100</f>
        <v>-0.22445448819252314</v>
      </c>
    </row>
    <row r="38" spans="1:21" ht="18.75">
      <c r="A38" s="54" t="s">
        <v>156</v>
      </c>
      <c r="C38" s="104">
        <f>IFERROR(VLOOKUP(A38,'درآمد سود سهام'!A:S,9,0),0)</f>
        <v>0</v>
      </c>
      <c r="E38" s="104">
        <f>IFERROR(VLOOKUP(A38,'درآمد ناشی از تغییر قیمت اوراق'!A:Q,9,0),0)</f>
        <v>13018582400</v>
      </c>
      <c r="G38" s="104">
        <f>IFERROR(VLOOKUP(A38,'درآمد ناشی از فروش'!A:Q,9,0),0)</f>
        <v>0</v>
      </c>
      <c r="I38" s="104">
        <f t="shared" si="0"/>
        <v>13018582400</v>
      </c>
      <c r="K38" s="60">
        <f t="shared" si="1"/>
        <v>2.5371880534718585</v>
      </c>
      <c r="M38" s="104">
        <f>IFERROR(VLOOKUP(A38,'درآمد سود سهام'!A:S,15,0),0)</f>
        <v>6400000000</v>
      </c>
      <c r="O38" s="104">
        <f>IFERROR(VLOOKUP(A38,'درآمد ناشی از تغییر قیمت اوراق'!A:Q,17,0),0)</f>
        <v>7052305149</v>
      </c>
      <c r="Q38" s="104">
        <f>IFERROR(VLOOKUP(A38,'درآمد ناشی از فروش'!A:Q,17,0),0)</f>
        <v>0</v>
      </c>
      <c r="S38" s="104">
        <f t="shared" si="2"/>
        <v>13452305149</v>
      </c>
      <c r="U38" s="60">
        <f>S38/درآمد!$F$12*100</f>
        <v>1.0148354983905243</v>
      </c>
    </row>
    <row r="39" spans="1:21" ht="18.75">
      <c r="A39" s="54" t="s">
        <v>140</v>
      </c>
      <c r="C39" s="104">
        <f>IFERROR(VLOOKUP(A39,'درآمد سود سهام'!A:S,9,0),0)</f>
        <v>0</v>
      </c>
      <c r="E39" s="104">
        <f>IFERROR(VLOOKUP(A39,'درآمد ناشی از تغییر قیمت اوراق'!A:Q,9,0),0)</f>
        <v>5469735382</v>
      </c>
      <c r="G39" s="104">
        <f>IFERROR(VLOOKUP(A39,'درآمد ناشی از فروش'!A:Q,9,0),0)</f>
        <v>4261630438</v>
      </c>
      <c r="I39" s="104">
        <f t="shared" si="0"/>
        <v>9731365820</v>
      </c>
      <c r="K39" s="60">
        <f t="shared" si="1"/>
        <v>1.8965432904943915</v>
      </c>
      <c r="M39" s="104">
        <f>IFERROR(VLOOKUP(A39,'درآمد سود سهام'!A:S,15,0),0)</f>
        <v>5050000000</v>
      </c>
      <c r="O39" s="104">
        <f>IFERROR(VLOOKUP(A39,'درآمد ناشی از تغییر قیمت اوراق'!A:Q,17,0),0)</f>
        <v>6593354915</v>
      </c>
      <c r="Q39" s="104">
        <f>IFERROR(VLOOKUP(A39,'درآمد ناشی از فروش'!A:Q,17,0),0)</f>
        <v>4261630438</v>
      </c>
      <c r="S39" s="104">
        <f t="shared" si="2"/>
        <v>15904985353</v>
      </c>
      <c r="U39" s="60">
        <f>S39/درآمد!$F$12*100</f>
        <v>1.1998645257319049</v>
      </c>
    </row>
    <row r="40" spans="1:21" ht="18.75">
      <c r="A40" s="54" t="s">
        <v>129</v>
      </c>
      <c r="C40" s="104">
        <f>IFERROR(VLOOKUP(A40,'درآمد سود سهام'!A:S,9,0),0)</f>
        <v>0</v>
      </c>
      <c r="E40" s="104">
        <f>IFERROR(VLOOKUP(A40,'درآمد ناشی از تغییر قیمت اوراق'!A:Q,9,0),0)</f>
        <v>39111587412</v>
      </c>
      <c r="G40" s="104">
        <f>IFERROR(VLOOKUP(A40,'درآمد ناشی از فروش'!A:Q,9,0),0)</f>
        <v>0</v>
      </c>
      <c r="I40" s="104">
        <f t="shared" si="0"/>
        <v>39111587412</v>
      </c>
      <c r="K40" s="60">
        <f t="shared" si="1"/>
        <v>7.6224468444464986</v>
      </c>
      <c r="M40" s="104">
        <f>IFERROR(VLOOKUP(A40,'درآمد سود سهام'!A:S,15,0),0)</f>
        <v>10070000000</v>
      </c>
      <c r="O40" s="104">
        <f>IFERROR(VLOOKUP(A40,'درآمد ناشی از تغییر قیمت اوراق'!A:Q,17,0),0)</f>
        <v>209537305488</v>
      </c>
      <c r="Q40" s="104">
        <f>IFERROR(VLOOKUP(A40,'درآمد ناشی از فروش'!A:Q,17,0),0)</f>
        <v>1616380145</v>
      </c>
      <c r="S40" s="104">
        <f t="shared" si="2"/>
        <v>221223685633</v>
      </c>
      <c r="U40" s="60">
        <f>S40/درآمد!$F$12*100</f>
        <v>16.689009562189664</v>
      </c>
    </row>
    <row r="41" spans="1:21" ht="18.75">
      <c r="A41" s="54" t="s">
        <v>143</v>
      </c>
      <c r="C41" s="104">
        <f>IFERROR(VLOOKUP(A41,'درآمد سود سهام'!A:S,9,0),0)</f>
        <v>0</v>
      </c>
      <c r="E41" s="104">
        <f>IFERROR(VLOOKUP(A41,'درآمد ناشی از تغییر قیمت اوراق'!A:Q,9,0),0)</f>
        <v>2329036834</v>
      </c>
      <c r="G41" s="104">
        <f>IFERROR(VLOOKUP(A41,'درآمد ناشی از فروش'!A:Q,9,0),0)</f>
        <v>0</v>
      </c>
      <c r="I41" s="104">
        <f t="shared" si="0"/>
        <v>2329036834</v>
      </c>
      <c r="K41" s="60">
        <f t="shared" si="1"/>
        <v>0.45390536770890816</v>
      </c>
      <c r="M41" s="104">
        <f>IFERROR(VLOOKUP(A41,'درآمد سود سهام'!A:S,15,0),0)</f>
        <v>2670929580</v>
      </c>
      <c r="O41" s="104">
        <f>IFERROR(VLOOKUP(A41,'درآمد ناشی از تغییر قیمت اوراق'!A:Q,17,0),0)</f>
        <v>31061567136</v>
      </c>
      <c r="Q41" s="104">
        <f>IFERROR(VLOOKUP(A41,'درآمد ناشی از فروش'!A:Q,17,0),0)</f>
        <v>0</v>
      </c>
      <c r="S41" s="104">
        <f t="shared" si="2"/>
        <v>33732496716</v>
      </c>
      <c r="U41" s="60">
        <f>S41/درآمد!$F$12*100</f>
        <v>2.5447634987140737</v>
      </c>
    </row>
    <row r="42" spans="1:21" ht="18.75">
      <c r="A42" s="54" t="s">
        <v>21</v>
      </c>
      <c r="C42" s="104">
        <f>IFERROR(VLOOKUP(A42,'درآمد سود سهام'!A:S,9,0),0)</f>
        <v>0</v>
      </c>
      <c r="E42" s="104">
        <f>IFERROR(VLOOKUP(A42,'درآمد ناشی از تغییر قیمت اوراق'!A:Q,9,0),0)</f>
        <v>85017233020</v>
      </c>
      <c r="G42" s="104">
        <f>IFERROR(VLOOKUP(A42,'درآمد ناشی از فروش'!A:Q,9,0),0)</f>
        <v>0</v>
      </c>
      <c r="I42" s="104">
        <f t="shared" si="0"/>
        <v>85017233020</v>
      </c>
      <c r="K42" s="60">
        <f t="shared" si="1"/>
        <v>16.568985879566824</v>
      </c>
      <c r="M42" s="104">
        <f>IFERROR(VLOOKUP(A42,'درآمد سود سهام'!A:S,15,0),0)</f>
        <v>0</v>
      </c>
      <c r="O42" s="104">
        <f>IFERROR(VLOOKUP(A42,'درآمد ناشی از تغییر قیمت اوراق'!A:Q,17,0),0)</f>
        <v>190379499071</v>
      </c>
      <c r="Q42" s="104">
        <f>IFERROR(VLOOKUP(A42,'درآمد ناشی از فروش'!A:Q,17,0),0)</f>
        <v>3920926947</v>
      </c>
      <c r="S42" s="104">
        <f t="shared" si="2"/>
        <v>194300426018</v>
      </c>
      <c r="U42" s="60">
        <f>S42/درآمد!$F$12*100</f>
        <v>14.657931669809482</v>
      </c>
    </row>
    <row r="43" spans="1:21" ht="18.75">
      <c r="A43" s="54" t="s">
        <v>17</v>
      </c>
      <c r="C43" s="104">
        <f>IFERROR(VLOOKUP(A43,'درآمد سود سهام'!A:S,9,0),0)</f>
        <v>0</v>
      </c>
      <c r="E43" s="104">
        <f>IFERROR(VLOOKUP(A43,'درآمد ناشی از تغییر قیمت اوراق'!A:Q,9,0),0)</f>
        <v>2743428096</v>
      </c>
      <c r="G43" s="104">
        <f>IFERROR(VLOOKUP(A43,'درآمد ناشی از فروش'!A:Q,9,0),0)</f>
        <v>0</v>
      </c>
      <c r="I43" s="104">
        <f t="shared" si="0"/>
        <v>2743428096</v>
      </c>
      <c r="K43" s="60">
        <f t="shared" si="1"/>
        <v>0.53466597029260621</v>
      </c>
      <c r="M43" s="104">
        <f>IFERROR(VLOOKUP(A43,'درآمد سود سهام'!A:S,15,0),0)</f>
        <v>0</v>
      </c>
      <c r="O43" s="104">
        <f>IFERROR(VLOOKUP(A43,'درآمد ناشی از تغییر قیمت اوراق'!A:Q,17,0),0)</f>
        <v>-5222186524</v>
      </c>
      <c r="Q43" s="104">
        <f>IFERROR(VLOOKUP(A43,'درآمد ناشی از فروش'!A:Q,17,0),0)</f>
        <v>0</v>
      </c>
      <c r="S43" s="104">
        <f t="shared" si="2"/>
        <v>-5222186524</v>
      </c>
      <c r="U43" s="60">
        <f>S43/درآمد!$F$12*100</f>
        <v>-0.39395926609394372</v>
      </c>
    </row>
    <row r="44" spans="1:21" ht="18.75">
      <c r="A44" s="54" t="s">
        <v>183</v>
      </c>
      <c r="C44" s="104">
        <f>IFERROR(VLOOKUP(A44,'درآمد سود سهام'!A:S,9,0),0)</f>
        <v>0</v>
      </c>
      <c r="E44" s="104">
        <f>IFERROR(VLOOKUP(A44,'درآمد ناشی از تغییر قیمت اوراق'!A:Q,9,0),0)</f>
        <v>3565302983</v>
      </c>
      <c r="G44" s="104">
        <f>IFERROR(VLOOKUP(A44,'درآمد ناشی از فروش'!A:Q,9,0),0)</f>
        <v>0</v>
      </c>
      <c r="I44" s="104">
        <f t="shared" si="0"/>
        <v>3565302983</v>
      </c>
      <c r="K44" s="60">
        <f t="shared" si="1"/>
        <v>0.69484094792649465</v>
      </c>
      <c r="M44" s="104">
        <f>IFERROR(VLOOKUP(A44,'درآمد سود سهام'!A:S,15,0),0)</f>
        <v>0</v>
      </c>
      <c r="O44" s="104">
        <f>IFERROR(VLOOKUP(A44,'درآمد ناشی از تغییر قیمت اوراق'!A:Q,17,0),0)</f>
        <v>3565302983</v>
      </c>
      <c r="Q44" s="104">
        <f>IFERROR(VLOOKUP(A44,'درآمد ناشی از فروش'!A:Q,17,0),0)</f>
        <v>0</v>
      </c>
      <c r="S44" s="104">
        <f t="shared" si="2"/>
        <v>3565302983</v>
      </c>
      <c r="U44" s="60">
        <f>S44/درآمد!$F$12*100</f>
        <v>0.26896476028385313</v>
      </c>
    </row>
    <row r="45" spans="1:21" ht="18.75">
      <c r="A45" s="54" t="s">
        <v>184</v>
      </c>
      <c r="C45" s="104">
        <f>IFERROR(VLOOKUP(A45,'درآمد سود سهام'!A:S,9,0),0)</f>
        <v>0</v>
      </c>
      <c r="E45" s="104">
        <f>IFERROR(VLOOKUP(A45,'درآمد ناشی از تغییر قیمت اوراق'!A:Q,9,0),0)</f>
        <v>-4053816012</v>
      </c>
      <c r="G45" s="104">
        <f>IFERROR(VLOOKUP(A45,'درآمد ناشی از فروش'!A:Q,9,0),0)</f>
        <v>0</v>
      </c>
      <c r="I45" s="104">
        <f t="shared" si="0"/>
        <v>-4053816012</v>
      </c>
      <c r="K45" s="60">
        <f t="shared" si="1"/>
        <v>-0.79004712192161042</v>
      </c>
      <c r="M45" s="104">
        <f>IFERROR(VLOOKUP(A45,'درآمد سود سهام'!A:S,15,0),0)</f>
        <v>0</v>
      </c>
      <c r="O45" s="104">
        <f>IFERROR(VLOOKUP(A45,'درآمد ناشی از تغییر قیمت اوراق'!A:Q,17,0),0)</f>
        <v>-4053816012</v>
      </c>
      <c r="Q45" s="104">
        <f>IFERROR(VLOOKUP(A45,'درآمد ناشی از فروش'!A:Q,17,0),0)</f>
        <v>0</v>
      </c>
      <c r="S45" s="104">
        <f t="shared" si="2"/>
        <v>-4053816012</v>
      </c>
      <c r="U45" s="60">
        <f>S45/درآمد!$F$12*100</f>
        <v>-0.3058179507047033</v>
      </c>
    </row>
    <row r="46" spans="1:21" ht="18.75">
      <c r="A46" s="54" t="s">
        <v>169</v>
      </c>
      <c r="C46" s="104">
        <f>IFERROR(VLOOKUP(A46,'درآمد سود سهام'!A:S,9,0),0)</f>
        <v>7000000000</v>
      </c>
      <c r="E46" s="104">
        <f>IFERROR(VLOOKUP(A46,'درآمد ناشی از تغییر قیمت اوراق'!A:Q,9,0),0)</f>
        <v>7700015200</v>
      </c>
      <c r="G46" s="104">
        <f>IFERROR(VLOOKUP(A46,'درآمد ناشی از فروش'!A:Q,9,0),0)</f>
        <v>0</v>
      </c>
      <c r="I46" s="104">
        <f t="shared" si="0"/>
        <v>14700015200</v>
      </c>
      <c r="K46" s="60">
        <f t="shared" si="1"/>
        <v>2.8648820436313196</v>
      </c>
      <c r="M46" s="104">
        <f>IFERROR(VLOOKUP(A46,'درآمد سود سهام'!A:S,15,0),0)</f>
        <v>7000000000</v>
      </c>
      <c r="O46" s="104">
        <f>IFERROR(VLOOKUP(A46,'درآمد ناشی از تغییر قیمت اوراق'!A:Q,17,0),0)</f>
        <v>11920536418</v>
      </c>
      <c r="Q46" s="104">
        <f>IFERROR(VLOOKUP(A46,'درآمد ناشی از فروش'!A:Q,17,0),0)</f>
        <v>0</v>
      </c>
      <c r="S46" s="104">
        <f t="shared" si="2"/>
        <v>18920536418</v>
      </c>
      <c r="U46" s="60">
        <f>S46/درآمد!$F$12*100</f>
        <v>1.4273562629527814</v>
      </c>
    </row>
    <row r="47" spans="1:21" ht="18.75">
      <c r="A47" s="54" t="s">
        <v>185</v>
      </c>
      <c r="C47" s="104">
        <f>IFERROR(VLOOKUP(A47,'درآمد سود سهام'!A:S,9,0),0)</f>
        <v>0</v>
      </c>
      <c r="E47" s="104">
        <f>IFERROR(VLOOKUP(A47,'درآمد ناشی از تغییر قیمت اوراق'!A:Q,9,0),0)</f>
        <v>13340468470</v>
      </c>
      <c r="G47" s="104">
        <f>IFERROR(VLOOKUP(A47,'درآمد ناشی از فروش'!A:Q,9,0),0)</f>
        <v>0</v>
      </c>
      <c r="I47" s="104">
        <f t="shared" si="0"/>
        <v>13340468470</v>
      </c>
      <c r="K47" s="60">
        <f t="shared" si="1"/>
        <v>2.5999203438465006</v>
      </c>
      <c r="M47" s="104">
        <f>IFERROR(VLOOKUP(A47,'درآمد سود سهام'!A:S,15,0),0)</f>
        <v>0</v>
      </c>
      <c r="O47" s="104">
        <f>IFERROR(VLOOKUP(A47,'درآمد ناشی از تغییر قیمت اوراق'!A:Q,17,0),0)</f>
        <v>13340468470</v>
      </c>
      <c r="Q47" s="104">
        <f>IFERROR(VLOOKUP(A47,'درآمد ناشی از فروش'!A:Q,17,0),0)</f>
        <v>0</v>
      </c>
      <c r="S47" s="104">
        <f t="shared" si="2"/>
        <v>13340468470</v>
      </c>
      <c r="U47" s="60">
        <f>S47/درآمد!$F$12*100</f>
        <v>1.0063985925506549</v>
      </c>
    </row>
    <row r="48" spans="1:21" ht="18.75">
      <c r="A48" s="54" t="s">
        <v>22</v>
      </c>
      <c r="C48" s="104">
        <f>IFERROR(VLOOKUP(A48,'درآمد سود سهام'!A:S,9,0),0)</f>
        <v>0</v>
      </c>
      <c r="E48" s="104">
        <f>IFERROR(VLOOKUP(A48,'درآمد ناشی از تغییر قیمت اوراق'!A:Q,9,0),0)</f>
        <v>15968892735</v>
      </c>
      <c r="G48" s="104">
        <f>IFERROR(VLOOKUP(A48,'درآمد ناشی از فروش'!A:Q,9,0),0)</f>
        <v>0</v>
      </c>
      <c r="I48" s="104">
        <f t="shared" si="0"/>
        <v>15968892735</v>
      </c>
      <c r="K48" s="60">
        <f t="shared" si="1"/>
        <v>3.1121732481729771</v>
      </c>
      <c r="M48" s="104">
        <f>IFERROR(VLOOKUP(A48,'درآمد سود سهام'!A:S,15,0),0)</f>
        <v>0</v>
      </c>
      <c r="O48" s="104">
        <f>IFERROR(VLOOKUP(A48,'درآمد ناشی از تغییر قیمت اوراق'!A:Q,17,0),0)</f>
        <v>15997186419</v>
      </c>
      <c r="Q48" s="104">
        <f>IFERROR(VLOOKUP(A48,'درآمد ناشی از فروش'!A:Q,17,0),0)</f>
        <v>0</v>
      </c>
      <c r="S48" s="104">
        <f t="shared" si="2"/>
        <v>15997186419</v>
      </c>
      <c r="U48" s="60">
        <f>S48/درآمد!$F$12*100</f>
        <v>1.2068201302717856</v>
      </c>
    </row>
    <row r="49" spans="1:21" ht="18.75">
      <c r="A49" s="54" t="s">
        <v>167</v>
      </c>
      <c r="C49" s="104">
        <f>IFERROR(VLOOKUP(A49,'درآمد سود سهام'!A:S,9,0),0)</f>
        <v>0</v>
      </c>
      <c r="E49" s="104">
        <f>IFERROR(VLOOKUP(A49,'درآمد ناشی از تغییر قیمت اوراق'!A:Q,9,0),0)</f>
        <v>10887946718</v>
      </c>
      <c r="G49" s="104">
        <f>IFERROR(VLOOKUP(A49,'درآمد ناشی از فروش'!A:Q,9,0),0)</f>
        <v>0</v>
      </c>
      <c r="I49" s="104">
        <f t="shared" si="0"/>
        <v>10887946718</v>
      </c>
      <c r="K49" s="60">
        <f t="shared" si="1"/>
        <v>2.1219490333869016</v>
      </c>
      <c r="M49" s="104">
        <f>IFERROR(VLOOKUP(A49,'درآمد سود سهام'!A:S,15,0),0)</f>
        <v>0</v>
      </c>
      <c r="O49" s="104">
        <f>IFERROR(VLOOKUP(A49,'درآمد ناشی از تغییر قیمت اوراق'!A:Q,17,0),0)</f>
        <v>10725778881</v>
      </c>
      <c r="Q49" s="104">
        <f>IFERROR(VLOOKUP(A49,'درآمد ناشی از فروش'!A:Q,17,0),0)</f>
        <v>0</v>
      </c>
      <c r="S49" s="104">
        <f t="shared" si="2"/>
        <v>10725778881</v>
      </c>
      <c r="U49" s="60">
        <f>S49/درآمد!$F$12*100</f>
        <v>0.8091476543063213</v>
      </c>
    </row>
    <row r="50" spans="1:21" ht="18.75">
      <c r="A50" s="54" t="s">
        <v>157</v>
      </c>
      <c r="C50" s="104">
        <f>IFERROR(VLOOKUP(A50,'درآمد سود سهام'!A:S,9,0),0)</f>
        <v>0</v>
      </c>
      <c r="E50" s="104">
        <f>IFERROR(VLOOKUP(A50,'درآمد ناشی از تغییر قیمت اوراق'!A:Q,9,0),0)</f>
        <v>58672926</v>
      </c>
      <c r="G50" s="104">
        <f>IFERROR(VLOOKUP(A50,'درآمد ناشی از فروش'!A:Q,9,0),0)</f>
        <v>0</v>
      </c>
      <c r="I50" s="104">
        <f t="shared" si="0"/>
        <v>58672926</v>
      </c>
      <c r="K50" s="60">
        <f t="shared" si="1"/>
        <v>1.1434750907244585E-2</v>
      </c>
      <c r="M50" s="104">
        <f>IFERROR(VLOOKUP(A50,'درآمد سود سهام'!A:S,15,0),0)</f>
        <v>257763000</v>
      </c>
      <c r="O50" s="104">
        <f>IFERROR(VLOOKUP(A50,'درآمد ناشی از تغییر قیمت اوراق'!A:Q,17,0),0)</f>
        <v>679699726</v>
      </c>
      <c r="Q50" s="104">
        <f>IFERROR(VLOOKUP(A50,'درآمد ناشی از فروش'!A:Q,17,0),0)</f>
        <v>1490868160</v>
      </c>
      <c r="S50" s="104">
        <f t="shared" si="2"/>
        <v>2428330886</v>
      </c>
      <c r="U50" s="60">
        <f>S50/درآمد!$F$12*100</f>
        <v>0.18319212637947824</v>
      </c>
    </row>
    <row r="51" spans="1:21" ht="18.75">
      <c r="A51" s="54" t="s">
        <v>126</v>
      </c>
      <c r="C51" s="104">
        <f>IFERROR(VLOOKUP(A51,'درآمد سود سهام'!A:S,9,0),0)</f>
        <v>3482720725</v>
      </c>
      <c r="E51" s="104">
        <f>IFERROR(VLOOKUP(A51,'درآمد ناشی از تغییر قیمت اوراق'!A:Q,9,0),0)</f>
        <v>-32698144590</v>
      </c>
      <c r="G51" s="104">
        <f>IFERROR(VLOOKUP(A51,'درآمد ناشی از فروش'!A:Q,9,0),0)</f>
        <v>84390389573</v>
      </c>
      <c r="I51" s="104">
        <f t="shared" si="0"/>
        <v>55174965708</v>
      </c>
      <c r="K51" s="60">
        <f t="shared" si="1"/>
        <v>10.753034358415018</v>
      </c>
      <c r="M51" s="104">
        <f>IFERROR(VLOOKUP(A51,'درآمد سود سهام'!A:S,15,0),0)</f>
        <v>3482720725</v>
      </c>
      <c r="O51" s="104">
        <f>IFERROR(VLOOKUP(A51,'درآمد ناشی از تغییر قیمت اوراق'!A:Q,17,0),0)</f>
        <v>0</v>
      </c>
      <c r="Q51" s="104">
        <f>IFERROR(VLOOKUP(A51,'درآمد ناشی از فروش'!A:Q,17,0),0)</f>
        <v>84390389573</v>
      </c>
      <c r="S51" s="104">
        <f t="shared" si="2"/>
        <v>87873110298</v>
      </c>
      <c r="U51" s="60">
        <f>S51/درآمد!$F$12*100</f>
        <v>6.6291056214276747</v>
      </c>
    </row>
    <row r="52" spans="1:21" ht="18.75">
      <c r="A52" s="54" t="s">
        <v>151</v>
      </c>
      <c r="C52" s="104">
        <f>IFERROR(VLOOKUP(A52,'درآمد سود سهام'!A:S,9,0),0)</f>
        <v>0</v>
      </c>
      <c r="E52" s="104">
        <f>IFERROR(VLOOKUP(A52,'درآمد ناشی از تغییر قیمت اوراق'!A:Q,9,0),0)</f>
        <v>-408664021</v>
      </c>
      <c r="G52" s="104">
        <f>IFERROR(VLOOKUP(A52,'درآمد ناشی از فروش'!A:Q,9,0),0)</f>
        <v>427768721</v>
      </c>
      <c r="I52" s="104">
        <f t="shared" si="0"/>
        <v>19104700</v>
      </c>
      <c r="K52" s="60">
        <f t="shared" si="1"/>
        <v>3.7233098901124453E-3</v>
      </c>
      <c r="M52" s="104">
        <f>IFERROR(VLOOKUP(A52,'درآمد سود سهام'!A:S,15,0),0)</f>
        <v>160000000</v>
      </c>
      <c r="O52" s="104">
        <f>IFERROR(VLOOKUP(A52,'درآمد ناشی از تغییر قیمت اوراق'!A:Q,17,0),0)</f>
        <v>0</v>
      </c>
      <c r="Q52" s="104">
        <f>IFERROR(VLOOKUP(A52,'درآمد ناشی از فروش'!A:Q,17,0),0)</f>
        <v>427768721</v>
      </c>
      <c r="S52" s="104">
        <f t="shared" si="2"/>
        <v>587768721</v>
      </c>
      <c r="U52" s="60">
        <f>S52/درآمد!$F$12*100</f>
        <v>4.4340992588823125E-2</v>
      </c>
    </row>
    <row r="53" spans="1:21" ht="18.75">
      <c r="A53" s="54" t="s">
        <v>130</v>
      </c>
      <c r="C53" s="104">
        <f>IFERROR(VLOOKUP(A53,'درآمد سود سهام'!A:S,9,0),0)</f>
        <v>0</v>
      </c>
      <c r="D53" s="104"/>
      <c r="E53" s="104">
        <f>IFERROR(VLOOKUP(A53,'درآمد ناشی از تغییر قیمت اوراق'!A:Q,9,0),0)</f>
        <v>-318171733</v>
      </c>
      <c r="F53" s="104"/>
      <c r="G53" s="104">
        <f>IFERROR(VLOOKUP(A53,'درآمد ناشی از فروش'!A:Q,9,0),0)</f>
        <v>9696097999</v>
      </c>
      <c r="H53" s="104"/>
      <c r="I53" s="104">
        <f t="shared" si="0"/>
        <v>9377926266</v>
      </c>
      <c r="J53" s="59"/>
      <c r="K53" s="60">
        <f t="shared" si="1"/>
        <v>1.8276615500344455</v>
      </c>
      <c r="L53" s="59"/>
      <c r="M53" s="104">
        <f>IFERROR(VLOOKUP(A53,'درآمد سود سهام'!A:S,15,0),0)</f>
        <v>0</v>
      </c>
      <c r="N53" s="104"/>
      <c r="O53" s="104">
        <f>IFERROR(VLOOKUP(A53,'درآمد ناشی از تغییر قیمت اوراق'!A:Q,17,0),0)</f>
        <v>0</v>
      </c>
      <c r="P53" s="104"/>
      <c r="Q53" s="104">
        <f>IFERROR(VLOOKUP(A53,'درآمد ناشی از فروش'!A:Q,17,0),0)</f>
        <v>9696097999</v>
      </c>
      <c r="R53" s="104"/>
      <c r="S53" s="104">
        <f t="shared" si="2"/>
        <v>9696097999</v>
      </c>
      <c r="U53" s="60">
        <f>S53/درآمد!$F$12*100</f>
        <v>0.73146901860087532</v>
      </c>
    </row>
    <row r="54" spans="1:21" ht="19.5" thickBot="1">
      <c r="C54" s="106">
        <f>SUM(C9:C53)</f>
        <v>26103838507</v>
      </c>
      <c r="D54" s="54"/>
      <c r="E54" s="106">
        <f>SUM(E9:E53)</f>
        <v>376942015281</v>
      </c>
      <c r="F54" s="54"/>
      <c r="G54" s="106">
        <f>SUM(G9:G53)</f>
        <v>98775873152</v>
      </c>
      <c r="H54" s="54"/>
      <c r="I54" s="106">
        <f>SUM(I9:I53)</f>
        <v>501821726940</v>
      </c>
      <c r="J54" s="54"/>
      <c r="K54" s="58">
        <f>SUM(K9:K53)</f>
        <v>97.799902588839871</v>
      </c>
      <c r="L54" s="54"/>
      <c r="M54" s="106">
        <f>SUM(M9:M53)</f>
        <v>84015255937</v>
      </c>
      <c r="N54" s="54"/>
      <c r="O54" s="106">
        <f>SUM(O9:O53)</f>
        <v>853485255925</v>
      </c>
      <c r="P54" s="54"/>
      <c r="Q54" s="106">
        <f>SUM(Q9:Q53)</f>
        <v>361137532766</v>
      </c>
      <c r="R54" s="54"/>
      <c r="S54" s="106">
        <f>SUM(S9:S53)</f>
        <v>1298638044628</v>
      </c>
      <c r="T54" s="54"/>
      <c r="U54" s="58">
        <f>SUM(U9:U53)</f>
        <v>97.968636055428831</v>
      </c>
    </row>
    <row r="55" spans="1:21" ht="13.5" thickTop="1"/>
    <row r="57" spans="1:21">
      <c r="C57" s="79"/>
      <c r="E57" s="79"/>
      <c r="G57" s="79"/>
      <c r="M57" s="79"/>
      <c r="Q57" s="79"/>
    </row>
    <row r="58" spans="1:21">
      <c r="C58" s="79"/>
      <c r="E58" s="79"/>
      <c r="G58" s="79"/>
      <c r="M58" s="79"/>
      <c r="O58" s="105"/>
      <c r="Q58" s="79"/>
    </row>
    <row r="59" spans="1:21">
      <c r="M59" s="105"/>
      <c r="O59" s="79"/>
      <c r="Q59" s="79"/>
    </row>
    <row r="60" spans="1:21">
      <c r="O60" s="79"/>
      <c r="Q60" s="79"/>
    </row>
    <row r="61" spans="1:21">
      <c r="O61" s="79"/>
      <c r="Q61" s="79"/>
    </row>
    <row r="62" spans="1:21">
      <c r="O62" s="105"/>
      <c r="Q62" s="79"/>
    </row>
  </sheetData>
  <mergeCells count="8">
    <mergeCell ref="A1:U1"/>
    <mergeCell ref="A2:U2"/>
    <mergeCell ref="A3:U3"/>
    <mergeCell ref="I7:K7"/>
    <mergeCell ref="S7:U7"/>
    <mergeCell ref="A5:U5"/>
    <mergeCell ref="C6:K6"/>
    <mergeCell ref="M6:U6"/>
  </mergeCells>
  <conditionalFormatting sqref="A9:A53">
    <cfRule type="duplicateValues" dxfId="6" priority="308"/>
    <cfRule type="duplicateValues" dxfId="5" priority="309"/>
    <cfRule type="duplicateValues" dxfId="4" priority="310"/>
    <cfRule type="duplicateValues" dxfId="3" priority="311"/>
    <cfRule type="duplicateValues" dxfId="2" priority="312"/>
    <cfRule type="duplicateValues" dxfId="1" priority="313"/>
  </conditionalFormatting>
  <pageMargins left="0.39370078740157483" right="0.39370078740157483" top="0.39370078740157483" bottom="0.39370078740157483" header="0" footer="0"/>
  <pageSetup scale="55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E0A4E-7F36-41C7-8226-4E050411462B}">
  <sheetPr>
    <pageSetUpPr fitToPage="1"/>
  </sheetPr>
  <dimension ref="A1:Q17"/>
  <sheetViews>
    <sheetView rightToLeft="1" view="pageBreakPreview" topLeftCell="A4" zoomScale="136" zoomScaleNormal="100" zoomScaleSheetLayoutView="136" workbookViewId="0">
      <selection activeCell="G27" sqref="G27"/>
    </sheetView>
  </sheetViews>
  <sheetFormatPr defaultRowHeight="12.75"/>
  <cols>
    <col min="1" max="1" width="29.7109375" style="48" bestFit="1" customWidth="1"/>
    <col min="2" max="2" width="1.28515625" style="48" customWidth="1"/>
    <col min="3" max="3" width="15.28515625" style="48" bestFit="1" customWidth="1"/>
    <col min="4" max="4" width="1.28515625" style="48" customWidth="1"/>
    <col min="5" max="5" width="16" style="48" bestFit="1" customWidth="1"/>
    <col min="6" max="6" width="1.28515625" style="48" customWidth="1"/>
    <col min="7" max="7" width="15.7109375" style="48" bestFit="1" customWidth="1"/>
    <col min="8" max="8" width="1.28515625" style="48" customWidth="1"/>
    <col min="9" max="9" width="15.5703125" style="48" bestFit="1" customWidth="1"/>
    <col min="10" max="10" width="1.28515625" style="48" customWidth="1"/>
    <col min="11" max="11" width="15.7109375" style="48" bestFit="1" customWidth="1"/>
    <col min="12" max="12" width="1.28515625" style="48" customWidth="1"/>
    <col min="13" max="13" width="15.5703125" style="48" bestFit="1" customWidth="1"/>
    <col min="14" max="14" width="1.28515625" style="48" customWidth="1"/>
    <col min="15" max="15" width="15.7109375" style="48" bestFit="1" customWidth="1"/>
    <col min="16" max="16" width="1.28515625" style="48" customWidth="1"/>
    <col min="17" max="17" width="15.7109375" style="48" bestFit="1" customWidth="1"/>
    <col min="18" max="16384" width="9.140625" style="48"/>
  </cols>
  <sheetData>
    <row r="1" spans="1:17" ht="29.1" customHeight="1">
      <c r="A1" s="133" t="str">
        <f>سهام!A1</f>
        <v>صندوق حفظ ارزش دماوند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</row>
    <row r="2" spans="1:17" ht="21.75" customHeight="1">
      <c r="A2" s="133" t="s">
        <v>49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</row>
    <row r="3" spans="1:17" ht="21.75" customHeight="1">
      <c r="A3" s="133" t="str">
        <f>سهام!A3</f>
        <v>‫برای ماه منتهی به 31 مرداد ماه 1405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</row>
    <row r="4" spans="1:17" ht="14.45" customHeight="1"/>
    <row r="5" spans="1:17" ht="14.45" customHeight="1">
      <c r="A5" s="142" t="s">
        <v>115</v>
      </c>
      <c r="B5" s="142"/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</row>
    <row r="6" spans="1:17" ht="14.45" customHeight="1">
      <c r="C6" s="136" t="s">
        <v>64</v>
      </c>
      <c r="D6" s="136"/>
      <c r="E6" s="136"/>
      <c r="F6" s="136"/>
      <c r="G6" s="136"/>
      <c r="H6" s="136"/>
      <c r="I6" s="136"/>
      <c r="K6" s="136" t="s">
        <v>65</v>
      </c>
      <c r="L6" s="136"/>
      <c r="M6" s="136"/>
      <c r="N6" s="136"/>
      <c r="O6" s="136"/>
      <c r="P6" s="136"/>
      <c r="Q6" s="136"/>
    </row>
    <row r="7" spans="1:17" ht="14.45" customHeight="1">
      <c r="C7" s="49"/>
      <c r="D7" s="49"/>
      <c r="E7" s="49"/>
      <c r="F7" s="49"/>
      <c r="G7" s="49"/>
      <c r="H7" s="49"/>
      <c r="I7" s="49"/>
      <c r="K7" s="49"/>
      <c r="L7" s="49"/>
      <c r="M7" s="49"/>
      <c r="N7" s="49"/>
      <c r="O7" s="49"/>
      <c r="P7" s="49"/>
      <c r="Q7" s="49"/>
    </row>
    <row r="8" spans="1:17" ht="14.45" customHeight="1">
      <c r="A8" s="63" t="s">
        <v>70</v>
      </c>
      <c r="C8" s="51" t="s">
        <v>71</v>
      </c>
      <c r="E8" s="51" t="s">
        <v>68</v>
      </c>
      <c r="G8" s="51" t="s">
        <v>69</v>
      </c>
      <c r="I8" s="51" t="s">
        <v>26</v>
      </c>
      <c r="K8" s="51" t="s">
        <v>71</v>
      </c>
      <c r="M8" s="51" t="s">
        <v>68</v>
      </c>
      <c r="O8" s="51" t="s">
        <v>69</v>
      </c>
      <c r="Q8" s="51" t="s">
        <v>26</v>
      </c>
    </row>
    <row r="9" spans="1:17" ht="21.75" customHeight="1">
      <c r="A9" s="68" t="s">
        <v>74</v>
      </c>
      <c r="C9" s="104">
        <f>IFERROR(VLOOKUP(A9,'سود اوراق بهادار'!A:Q,7,0),0)</f>
        <v>4582038068</v>
      </c>
      <c r="D9" s="105"/>
      <c r="E9" s="104">
        <f>IFERROR(VLOOKUP(A9,'درآمد ناشی از تغییر قیمت اوراق'!A:Q,9,0),0)</f>
        <v>55664854</v>
      </c>
      <c r="F9" s="105"/>
      <c r="G9" s="104">
        <f>IFERROR(VLOOKUP(A9,'درآمد ناشی از فروش'!A:Q,9,0),0)</f>
        <v>-108517352</v>
      </c>
      <c r="H9" s="107"/>
      <c r="I9" s="104">
        <f>C9+E9+G9</f>
        <v>4529185570</v>
      </c>
      <c r="J9" s="107"/>
      <c r="K9" s="104">
        <f>IFERROR(VLOOKUP(A9,'سود اوراق بهادار'!A:Q,13,0),0)</f>
        <v>11541577220</v>
      </c>
      <c r="L9" s="104"/>
      <c r="M9" s="104">
        <f>IFERROR(VLOOKUP(A9,'درآمد ناشی از تغییر قیمت اوراق'!A:Q,17,0),0)</f>
        <v>-153720452</v>
      </c>
      <c r="N9" s="104"/>
      <c r="O9" s="104">
        <f>IFERROR(VLOOKUP(A9,'درآمد ناشی از فروش'!A:Q,17,0),0)</f>
        <v>-183539546</v>
      </c>
      <c r="P9" s="107"/>
      <c r="Q9" s="104">
        <f>K9+M9+O9</f>
        <v>11204317222</v>
      </c>
    </row>
    <row r="10" spans="1:17" ht="21.75" customHeight="1">
      <c r="A10" s="67" t="s">
        <v>73</v>
      </c>
      <c r="C10" s="104">
        <f>IFERROR(VLOOKUP(A10,'سود اوراق بهادار'!A:Q,7,0),0)</f>
        <v>5948146482</v>
      </c>
      <c r="D10" s="105"/>
      <c r="E10" s="104">
        <f>IFERROR(VLOOKUP(A10,'درآمد ناشی از تغییر قیمت اوراق'!A:Q,9,0),0)</f>
        <v>0</v>
      </c>
      <c r="F10" s="105"/>
      <c r="G10" s="104">
        <f>IFERROR(VLOOKUP(A10,'درآمد ناشی از فروش'!A:Q,9,0),0)</f>
        <v>0</v>
      </c>
      <c r="H10" s="107"/>
      <c r="I10" s="104">
        <f>C10+E10+G10</f>
        <v>5948146482</v>
      </c>
      <c r="J10" s="107"/>
      <c r="K10" s="104">
        <f>IFERROR(VLOOKUP(A10,'سود اوراق بهادار'!A:Q,13,0),0)</f>
        <v>11023253920</v>
      </c>
      <c r="L10" s="104"/>
      <c r="M10" s="104">
        <f>IFERROR(VLOOKUP(A10,'درآمد ناشی از تغییر قیمت اوراق'!A:Q,17,0),0)</f>
        <v>-250890000</v>
      </c>
      <c r="N10" s="104"/>
      <c r="O10" s="104">
        <f>IFERROR(VLOOKUP(A10,'درآمد ناشی از فروش'!A:Q,17,0),0)</f>
        <v>0</v>
      </c>
      <c r="P10" s="107"/>
      <c r="Q10" s="104">
        <f t="shared" ref="Q10:Q11" si="0">K10+M10+O10</f>
        <v>10772363920</v>
      </c>
    </row>
    <row r="11" spans="1:17" ht="21.75" customHeight="1">
      <c r="A11" s="67" t="s">
        <v>72</v>
      </c>
      <c r="C11" s="104">
        <f>IFERROR(VLOOKUP(A11,'سود اوراق بهادار'!A:Q,7,0),0)</f>
        <v>0</v>
      </c>
      <c r="D11" s="105"/>
      <c r="E11" s="104">
        <f>IFERROR(VLOOKUP(A11,'درآمد ناشی از تغییر قیمت اوراق'!A:Q,9,0),0)</f>
        <v>0</v>
      </c>
      <c r="F11" s="105"/>
      <c r="G11" s="104">
        <f>IFERROR(VLOOKUP(A11,'درآمد ناشی از فروش'!A:Q,9,0),0)</f>
        <v>0</v>
      </c>
      <c r="H11" s="107"/>
      <c r="I11" s="104">
        <f t="shared" ref="I11" si="1">C11+E11+G11</f>
        <v>0</v>
      </c>
      <c r="J11" s="107"/>
      <c r="K11" s="104">
        <f>IFERROR(VLOOKUP(A11,'سود اوراق بهادار'!A:Q,13,0),0)</f>
        <v>1554333893</v>
      </c>
      <c r="L11" s="104"/>
      <c r="M11" s="104">
        <f>IFERROR(VLOOKUP(A11,'درآمد ناشی از تغییر قیمت اوراق'!A:Q,17,0),0)</f>
        <v>0</v>
      </c>
      <c r="N11" s="104"/>
      <c r="O11" s="104">
        <f>IFERROR(VLOOKUP(A11,'درآمد ناشی از فروش'!A:Q,17,0),0)</f>
        <v>59812500</v>
      </c>
      <c r="P11" s="107"/>
      <c r="Q11" s="104">
        <f t="shared" si="0"/>
        <v>1614146393</v>
      </c>
    </row>
    <row r="12" spans="1:17" ht="21.75" customHeight="1" thickBot="1">
      <c r="A12" s="66"/>
      <c r="C12" s="106">
        <f>SUM(C9:C11)</f>
        <v>10530184550</v>
      </c>
      <c r="D12" s="105"/>
      <c r="E12" s="106">
        <f>SUM(E9:E11)</f>
        <v>55664854</v>
      </c>
      <c r="F12" s="105"/>
      <c r="G12" s="106">
        <f>SUM(G9:G11)</f>
        <v>-108517352</v>
      </c>
      <c r="H12" s="105"/>
      <c r="I12" s="108">
        <f>SUM(I9:I11)</f>
        <v>10477332052</v>
      </c>
      <c r="J12" s="105"/>
      <c r="K12" s="108">
        <f>SUM(K9:K11)</f>
        <v>24119165033</v>
      </c>
      <c r="L12" s="105"/>
      <c r="M12" s="108">
        <f>SUM(M9:M11)</f>
        <v>-404610452</v>
      </c>
      <c r="N12" s="105"/>
      <c r="O12" s="108">
        <f>SUM(O9:O11)</f>
        <v>-123727046</v>
      </c>
      <c r="P12" s="105"/>
      <c r="Q12" s="108">
        <f>SUM(Q9:Q11)</f>
        <v>23590827535</v>
      </c>
    </row>
    <row r="13" spans="1:17" ht="13.5" thickTop="1">
      <c r="C13" s="64"/>
      <c r="E13" s="64"/>
      <c r="G13" s="64"/>
      <c r="I13" s="65"/>
      <c r="K13" s="64"/>
      <c r="M13" s="64"/>
      <c r="O13" s="64"/>
      <c r="Q13" s="65"/>
    </row>
    <row r="14" spans="1:17">
      <c r="C14" s="64"/>
      <c r="E14" s="64"/>
      <c r="G14" s="64"/>
      <c r="K14" s="64"/>
      <c r="M14" s="64"/>
      <c r="O14" s="64"/>
    </row>
    <row r="15" spans="1:17">
      <c r="E15" s="64"/>
      <c r="G15" s="64"/>
      <c r="O15" s="64"/>
    </row>
    <row r="16" spans="1:17">
      <c r="E16" s="64"/>
      <c r="G16" s="64"/>
      <c r="O16" s="64"/>
    </row>
    <row r="17" spans="15:15">
      <c r="O17" s="65"/>
    </row>
  </sheetData>
  <mergeCells count="6">
    <mergeCell ref="A1:Q1"/>
    <mergeCell ref="A2:Q2"/>
    <mergeCell ref="A3:Q3"/>
    <mergeCell ref="A5:Q5"/>
    <mergeCell ref="C6:I6"/>
    <mergeCell ref="K6:Q6"/>
  </mergeCells>
  <pageMargins left="0.39" right="0.39" top="0.39" bottom="0.39" header="0" footer="0"/>
  <pageSetup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16</vt:i4>
      </vt:variant>
    </vt:vector>
  </HeadingPairs>
  <TitlesOfParts>
    <vt:vector size="33" baseType="lpstr">
      <vt:lpstr>0</vt:lpstr>
      <vt:lpstr>سهام</vt:lpstr>
      <vt:lpstr>اوراق مشتقه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اوراق به</vt:lpstr>
      <vt:lpstr>درآمد سپرده بانکی</vt:lpstr>
      <vt:lpstr>سایر درآمدها</vt:lpstr>
      <vt:lpstr>سود ترجیحی</vt:lpstr>
      <vt:lpstr>درآمد سود سهام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ترجیحی'!Print_Area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Mohammad Nikomaram</dc:creator>
  <dc:description/>
  <cp:lastModifiedBy>Mohammad Nikomaram</cp:lastModifiedBy>
  <cp:lastPrinted>2026-07-26T12:48:52Z</cp:lastPrinted>
  <dcterms:created xsi:type="dcterms:W3CDTF">2025-11-25T05:01:31Z</dcterms:created>
  <dcterms:modified xsi:type="dcterms:W3CDTF">2026-08-29T12:58:59Z</dcterms:modified>
</cp:coreProperties>
</file>